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ownloads\"/>
    </mc:Choice>
  </mc:AlternateContent>
  <xr:revisionPtr revIDLastSave="0" documentId="13_ncr:1_{B62E0B8C-6047-4C0B-94E0-0BE28F1FC9F3}" xr6:coauthVersionLast="47" xr6:coauthVersionMax="47" xr10:uidLastSave="{00000000-0000-0000-0000-000000000000}"/>
  <bookViews>
    <workbookView xWindow="-120" yWindow="-120" windowWidth="29040" windowHeight="15720" xr2:uid="{E9ADA09A-8069-4DD6-B0E5-6B559ED3E78B}"/>
  </bookViews>
  <sheets>
    <sheet name="Lista de PVP Matriz" sheetId="1" r:id="rId1"/>
  </sheets>
  <externalReferences>
    <externalReference r:id="rId2"/>
  </externalReferences>
  <definedNames>
    <definedName name="_xlnm.Print_Area" localSheetId="0">'Lista de PVP Matriz'!$A$1:$N$308</definedName>
    <definedName name="TítuloDeColumna1">#REF!</definedName>
    <definedName name="TítuloFilaRegión1..F5" localSheetId="0">'Lista de PVP Matriz'!$B$8</definedName>
    <definedName name="TítuloFilaRegión1..F5">'[1]Lista de precios de productos S'!$B$8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8" i="1" l="1"/>
  <c r="J138" i="1" s="1"/>
  <c r="I139" i="1"/>
  <c r="J139" i="1" s="1"/>
  <c r="K138" i="1"/>
  <c r="K139" i="1"/>
  <c r="K255" i="1"/>
  <c r="I255" i="1"/>
  <c r="K254" i="1"/>
  <c r="I254" i="1"/>
  <c r="K253" i="1"/>
  <c r="I253" i="1"/>
  <c r="K252" i="1"/>
  <c r="I252" i="1"/>
  <c r="K251" i="1"/>
  <c r="I251" i="1"/>
  <c r="K250" i="1"/>
  <c r="I250" i="1"/>
  <c r="K249" i="1"/>
  <c r="I249" i="1"/>
  <c r="K248" i="1"/>
  <c r="I248" i="1"/>
  <c r="K247" i="1"/>
  <c r="I247" i="1"/>
  <c r="K246" i="1"/>
  <c r="I246" i="1"/>
  <c r="K245" i="1"/>
  <c r="I245" i="1"/>
  <c r="L245" i="1" s="1"/>
  <c r="M245" i="1" s="1"/>
  <c r="K205" i="1"/>
  <c r="I205" i="1"/>
  <c r="K204" i="1"/>
  <c r="I204" i="1"/>
  <c r="K203" i="1"/>
  <c r="I203" i="1"/>
  <c r="K202" i="1"/>
  <c r="I202" i="1"/>
  <c r="K201" i="1"/>
  <c r="I201" i="1"/>
  <c r="K200" i="1"/>
  <c r="I200" i="1"/>
  <c r="K195" i="1"/>
  <c r="I195" i="1"/>
  <c r="K194" i="1"/>
  <c r="I194" i="1"/>
  <c r="K193" i="1"/>
  <c r="I193" i="1"/>
  <c r="K192" i="1"/>
  <c r="I192" i="1"/>
  <c r="K191" i="1"/>
  <c r="I191" i="1"/>
  <c r="K182" i="1"/>
  <c r="I182" i="1"/>
  <c r="K181" i="1"/>
  <c r="I181" i="1"/>
  <c r="L181" i="1" s="1"/>
  <c r="M181" i="1" s="1"/>
  <c r="K180" i="1"/>
  <c r="I180" i="1"/>
  <c r="K179" i="1"/>
  <c r="I179" i="1"/>
  <c r="M174" i="1"/>
  <c r="L174" i="1"/>
  <c r="K174" i="1"/>
  <c r="I174" i="1"/>
  <c r="K173" i="1"/>
  <c r="I173" i="1"/>
  <c r="K172" i="1"/>
  <c r="I172" i="1"/>
  <c r="K168" i="1"/>
  <c r="I168" i="1"/>
  <c r="K167" i="1"/>
  <c r="I167" i="1"/>
  <c r="K166" i="1"/>
  <c r="I166" i="1"/>
  <c r="K165" i="1"/>
  <c r="I165" i="1"/>
  <c r="K164" i="1"/>
  <c r="I164" i="1"/>
  <c r="L164" i="1" s="1"/>
  <c r="M164" i="1" s="1"/>
  <c r="K159" i="1"/>
  <c r="I159" i="1"/>
  <c r="K158" i="1"/>
  <c r="I158" i="1"/>
  <c r="K157" i="1"/>
  <c r="I157" i="1"/>
  <c r="K152" i="1"/>
  <c r="I152" i="1"/>
  <c r="K151" i="1"/>
  <c r="I151" i="1"/>
  <c r="K141" i="1"/>
  <c r="I141" i="1"/>
  <c r="K140" i="1"/>
  <c r="I140" i="1"/>
  <c r="L140" i="1" s="1"/>
  <c r="M140" i="1" s="1"/>
  <c r="K137" i="1"/>
  <c r="I137" i="1"/>
  <c r="K136" i="1"/>
  <c r="I136" i="1"/>
  <c r="K143" i="1"/>
  <c r="I143" i="1"/>
  <c r="K142" i="1"/>
  <c r="I142" i="1"/>
  <c r="K135" i="1"/>
  <c r="I135" i="1"/>
  <c r="K134" i="1"/>
  <c r="I134" i="1"/>
  <c r="L134" i="1" s="1"/>
  <c r="M134" i="1" s="1"/>
  <c r="K129" i="1"/>
  <c r="I129" i="1"/>
  <c r="K128" i="1"/>
  <c r="I128" i="1"/>
  <c r="K127" i="1"/>
  <c r="I127" i="1"/>
  <c r="L127" i="1" s="1"/>
  <c r="M127" i="1" s="1"/>
  <c r="K126" i="1"/>
  <c r="I126" i="1"/>
  <c r="K125" i="1"/>
  <c r="I125" i="1"/>
  <c r="K124" i="1"/>
  <c r="I124" i="1"/>
  <c r="K123" i="1"/>
  <c r="I123" i="1"/>
  <c r="K122" i="1"/>
  <c r="I122" i="1"/>
  <c r="K117" i="1"/>
  <c r="I117" i="1"/>
  <c r="K116" i="1"/>
  <c r="I116" i="1"/>
  <c r="K106" i="1"/>
  <c r="I106" i="1"/>
  <c r="L106" i="1" s="1"/>
  <c r="M106" i="1" s="1"/>
  <c r="K105" i="1"/>
  <c r="I105" i="1"/>
  <c r="K104" i="1"/>
  <c r="I104" i="1"/>
  <c r="K103" i="1"/>
  <c r="I103" i="1"/>
  <c r="K102" i="1"/>
  <c r="I102" i="1"/>
  <c r="K101" i="1"/>
  <c r="I101" i="1"/>
  <c r="K100" i="1"/>
  <c r="I100" i="1"/>
  <c r="K99" i="1"/>
  <c r="I99" i="1"/>
  <c r="K94" i="1"/>
  <c r="I94" i="1"/>
  <c r="L94" i="1" s="1"/>
  <c r="M94" i="1" s="1"/>
  <c r="K93" i="1"/>
  <c r="I93" i="1"/>
  <c r="K92" i="1"/>
  <c r="I92" i="1"/>
  <c r="K91" i="1"/>
  <c r="I91" i="1"/>
  <c r="K86" i="1"/>
  <c r="I86" i="1"/>
  <c r="K85" i="1"/>
  <c r="I85" i="1"/>
  <c r="K84" i="1"/>
  <c r="I84" i="1"/>
  <c r="K83" i="1"/>
  <c r="I83" i="1"/>
  <c r="K82" i="1"/>
  <c r="I82" i="1"/>
  <c r="L82" i="1" s="1"/>
  <c r="M82" i="1" s="1"/>
  <c r="K81" i="1"/>
  <c r="I81" i="1"/>
  <c r="K80" i="1"/>
  <c r="I80" i="1"/>
  <c r="K79" i="1"/>
  <c r="I79" i="1"/>
  <c r="K70" i="1"/>
  <c r="I70" i="1"/>
  <c r="K69" i="1"/>
  <c r="I69" i="1"/>
  <c r="K65" i="1"/>
  <c r="I65" i="1"/>
  <c r="K64" i="1"/>
  <c r="I64" i="1"/>
  <c r="K63" i="1"/>
  <c r="I63" i="1"/>
  <c r="L63" i="1" s="1"/>
  <c r="M63" i="1" s="1"/>
  <c r="K62" i="1"/>
  <c r="I62" i="1"/>
  <c r="K61" i="1"/>
  <c r="I61" i="1"/>
  <c r="K60" i="1"/>
  <c r="I60" i="1"/>
  <c r="K59" i="1"/>
  <c r="I59" i="1"/>
  <c r="K58" i="1"/>
  <c r="I58" i="1"/>
  <c r="K57" i="1"/>
  <c r="I57" i="1"/>
  <c r="K56" i="1"/>
  <c r="I56" i="1"/>
  <c r="K55" i="1"/>
  <c r="I55" i="1"/>
  <c r="L55" i="1" s="1"/>
  <c r="M55" i="1" s="1"/>
  <c r="K54" i="1"/>
  <c r="I54" i="1"/>
  <c r="K53" i="1"/>
  <c r="I53" i="1"/>
  <c r="K46" i="1"/>
  <c r="I46" i="1"/>
  <c r="K45" i="1"/>
  <c r="I45" i="1"/>
  <c r="K44" i="1"/>
  <c r="I44" i="1"/>
  <c r="K43" i="1"/>
  <c r="I43" i="1"/>
  <c r="K42" i="1"/>
  <c r="I42" i="1"/>
  <c r="K41" i="1"/>
  <c r="I41" i="1"/>
  <c r="L41" i="1" s="1"/>
  <c r="M41" i="1" s="1"/>
  <c r="K40" i="1"/>
  <c r="I40" i="1"/>
  <c r="K39" i="1"/>
  <c r="I39" i="1"/>
  <c r="K35" i="1"/>
  <c r="I35" i="1"/>
  <c r="K34" i="1"/>
  <c r="I34" i="1"/>
  <c r="K33" i="1"/>
  <c r="I33" i="1"/>
  <c r="K32" i="1"/>
  <c r="I32" i="1"/>
  <c r="K28" i="1"/>
  <c r="I28" i="1"/>
  <c r="K27" i="1"/>
  <c r="I27" i="1"/>
  <c r="L27" i="1" s="1"/>
  <c r="M27" i="1" s="1"/>
  <c r="K26" i="1"/>
  <c r="I26" i="1"/>
  <c r="K25" i="1"/>
  <c r="I25" i="1"/>
  <c r="K24" i="1"/>
  <c r="I24" i="1"/>
  <c r="K23" i="1"/>
  <c r="I23" i="1"/>
  <c r="K19" i="1"/>
  <c r="I19" i="1"/>
  <c r="K18" i="1"/>
  <c r="I18" i="1"/>
  <c r="K17" i="1"/>
  <c r="I17" i="1"/>
  <c r="K16" i="1"/>
  <c r="I16" i="1"/>
  <c r="L16" i="1" s="1"/>
  <c r="M16" i="1" s="1"/>
  <c r="K15" i="1"/>
  <c r="I15" i="1"/>
  <c r="K14" i="1"/>
  <c r="I14" i="1"/>
  <c r="L138" i="1" l="1"/>
  <c r="M138" i="1" s="1"/>
  <c r="L253" i="1"/>
  <c r="M253" i="1" s="1"/>
  <c r="L195" i="1"/>
  <c r="M195" i="1" s="1"/>
  <c r="L124" i="1"/>
  <c r="M124" i="1" s="1"/>
  <c r="L172" i="1"/>
  <c r="M172" i="1" s="1"/>
  <c r="L250" i="1"/>
  <c r="M250" i="1" s="1"/>
  <c r="L23" i="1"/>
  <c r="M23" i="1" s="1"/>
  <c r="L34" i="1"/>
  <c r="M34" i="1" s="1"/>
  <c r="L45" i="1"/>
  <c r="M45" i="1" s="1"/>
  <c r="L59" i="1"/>
  <c r="M59" i="1" s="1"/>
  <c r="L70" i="1"/>
  <c r="M70" i="1" s="1"/>
  <c r="L86" i="1"/>
  <c r="M86" i="1" s="1"/>
  <c r="L102" i="1"/>
  <c r="M102" i="1" s="1"/>
  <c r="L135" i="1"/>
  <c r="M135" i="1" s="1"/>
  <c r="L152" i="1"/>
  <c r="M152" i="1" s="1"/>
  <c r="L182" i="1"/>
  <c r="M182" i="1" s="1"/>
  <c r="L202" i="1"/>
  <c r="M202" i="1" s="1"/>
  <c r="L139" i="1"/>
  <c r="M139" i="1" s="1"/>
  <c r="L14" i="1"/>
  <c r="M14" i="1" s="1"/>
  <c r="L25" i="1"/>
  <c r="M25" i="1" s="1"/>
  <c r="L39" i="1"/>
  <c r="M39" i="1" s="1"/>
  <c r="L53" i="1"/>
  <c r="M53" i="1" s="1"/>
  <c r="L61" i="1"/>
  <c r="M61" i="1" s="1"/>
  <c r="L80" i="1"/>
  <c r="M80" i="1" s="1"/>
  <c r="L18" i="1"/>
  <c r="M18" i="1" s="1"/>
  <c r="L159" i="1"/>
  <c r="M159" i="1" s="1"/>
  <c r="L92" i="1"/>
  <c r="M92" i="1" s="1"/>
  <c r="L104" i="1"/>
  <c r="M104" i="1" s="1"/>
  <c r="L125" i="1"/>
  <c r="M125" i="1" s="1"/>
  <c r="L143" i="1"/>
  <c r="M143" i="1" s="1"/>
  <c r="L173" i="1"/>
  <c r="M173" i="1" s="1"/>
  <c r="L251" i="1"/>
  <c r="M251" i="1" s="1"/>
  <c r="L32" i="1"/>
  <c r="M32" i="1" s="1"/>
  <c r="L43" i="1"/>
  <c r="M43" i="1" s="1"/>
  <c r="L57" i="1"/>
  <c r="M57" i="1" s="1"/>
  <c r="L65" i="1"/>
  <c r="M65" i="1" s="1"/>
  <c r="L100" i="1"/>
  <c r="M100" i="1" s="1"/>
  <c r="L117" i="1"/>
  <c r="M117" i="1" s="1"/>
  <c r="L141" i="1"/>
  <c r="M141" i="1" s="1"/>
  <c r="L166" i="1"/>
  <c r="M166" i="1" s="1"/>
  <c r="L200" i="1"/>
  <c r="M200" i="1" s="1"/>
  <c r="L247" i="1"/>
  <c r="M247" i="1" s="1"/>
  <c r="L205" i="1"/>
  <c r="M205" i="1" s="1"/>
  <c r="L15" i="1"/>
  <c r="M15" i="1" s="1"/>
  <c r="L24" i="1"/>
  <c r="M24" i="1" s="1"/>
  <c r="L33" i="1"/>
  <c r="M33" i="1" s="1"/>
  <c r="L42" i="1"/>
  <c r="M42" i="1" s="1"/>
  <c r="L54" i="1"/>
  <c r="M54" i="1" s="1"/>
  <c r="L60" i="1"/>
  <c r="M60" i="1" s="1"/>
  <c r="L69" i="1"/>
  <c r="M69" i="1" s="1"/>
  <c r="L83" i="1"/>
  <c r="M83" i="1" s="1"/>
  <c r="L93" i="1"/>
  <c r="M93" i="1" s="1"/>
  <c r="L103" i="1"/>
  <c r="M103" i="1" s="1"/>
  <c r="L122" i="1"/>
  <c r="M122" i="1" s="1"/>
  <c r="L128" i="1"/>
  <c r="M128" i="1" s="1"/>
  <c r="L136" i="1"/>
  <c r="M136" i="1" s="1"/>
  <c r="L157" i="1"/>
  <c r="M157" i="1" s="1"/>
  <c r="L167" i="1"/>
  <c r="M167" i="1" s="1"/>
  <c r="L179" i="1"/>
  <c r="M179" i="1" s="1"/>
  <c r="L193" i="1"/>
  <c r="M193" i="1" s="1"/>
  <c r="L203" i="1"/>
  <c r="M203" i="1" s="1"/>
  <c r="L248" i="1"/>
  <c r="M248" i="1" s="1"/>
  <c r="L254" i="1"/>
  <c r="M254" i="1" s="1"/>
  <c r="L19" i="1"/>
  <c r="M19" i="1" s="1"/>
  <c r="L28" i="1"/>
  <c r="M28" i="1" s="1"/>
  <c r="L40" i="1"/>
  <c r="M40" i="1" s="1"/>
  <c r="L46" i="1"/>
  <c r="M46" i="1" s="1"/>
  <c r="L58" i="1"/>
  <c r="M58" i="1" s="1"/>
  <c r="L64" i="1"/>
  <c r="M64" i="1" s="1"/>
  <c r="L81" i="1"/>
  <c r="M81" i="1" s="1"/>
  <c r="L91" i="1"/>
  <c r="M91" i="1" s="1"/>
  <c r="L101" i="1"/>
  <c r="M101" i="1" s="1"/>
  <c r="L116" i="1"/>
  <c r="M116" i="1" s="1"/>
  <c r="L126" i="1"/>
  <c r="M126" i="1" s="1"/>
  <c r="L142" i="1"/>
  <c r="M142" i="1" s="1"/>
  <c r="L151" i="1"/>
  <c r="M151" i="1" s="1"/>
  <c r="L165" i="1"/>
  <c r="M165" i="1" s="1"/>
  <c r="L191" i="1"/>
  <c r="M191" i="1" s="1"/>
  <c r="L201" i="1"/>
  <c r="M201" i="1" s="1"/>
  <c r="L246" i="1"/>
  <c r="M246" i="1" s="1"/>
  <c r="L252" i="1"/>
  <c r="M252" i="1" s="1"/>
  <c r="L137" i="1"/>
  <c r="M137" i="1" s="1"/>
  <c r="L158" i="1"/>
  <c r="M158" i="1" s="1"/>
  <c r="L17" i="1"/>
  <c r="M17" i="1" s="1"/>
  <c r="L26" i="1"/>
  <c r="M26" i="1" s="1"/>
  <c r="L35" i="1"/>
  <c r="M35" i="1" s="1"/>
  <c r="L44" i="1"/>
  <c r="M44" i="1" s="1"/>
  <c r="L84" i="1"/>
  <c r="M84" i="1" s="1"/>
  <c r="L123" i="1"/>
  <c r="M123" i="1" s="1"/>
  <c r="L129" i="1"/>
  <c r="M129" i="1" s="1"/>
  <c r="L168" i="1"/>
  <c r="M168" i="1" s="1"/>
  <c r="L180" i="1"/>
  <c r="M180" i="1" s="1"/>
  <c r="L194" i="1"/>
  <c r="M194" i="1" s="1"/>
  <c r="L204" i="1"/>
  <c r="M204" i="1" s="1"/>
  <c r="L249" i="1"/>
  <c r="M249" i="1" s="1"/>
  <c r="L56" i="1"/>
  <c r="M56" i="1" s="1"/>
  <c r="L62" i="1"/>
  <c r="M62" i="1" s="1"/>
  <c r="L79" i="1"/>
  <c r="M79" i="1" s="1"/>
  <c r="L85" i="1"/>
  <c r="M85" i="1" s="1"/>
  <c r="L99" i="1"/>
  <c r="M99" i="1" s="1"/>
  <c r="L105" i="1"/>
  <c r="M105" i="1" s="1"/>
  <c r="L255" i="1"/>
  <c r="M255" i="1" s="1"/>
  <c r="L192" i="1"/>
  <c r="M192" i="1" s="1"/>
</calcChain>
</file>

<file path=xl/sharedStrings.xml><?xml version="1.0" encoding="utf-8"?>
<sst xmlns="http://schemas.openxmlformats.org/spreadsheetml/2006/main" count="1337" uniqueCount="681">
  <si>
    <t>Bur 2000 S.A.</t>
  </si>
  <si>
    <t>C/Progrés 45 08850 Gavá Barcelona España. Telf. +34 936333319. Email info@bur2000.com</t>
  </si>
  <si>
    <t>www.bur2000.com</t>
  </si>
  <si>
    <t>Fecha Inicial de Validez</t>
  </si>
  <si>
    <r>
      <t xml:space="preserve">Aislamiento Térmico Reflectivo. Sin necesidad de Cámara Estanca adicional. </t>
    </r>
    <r>
      <rPr>
        <b/>
        <i/>
        <sz val="11"/>
        <color rgb="FF0667A4"/>
        <rFont val="Aptos Display"/>
        <family val="2"/>
        <scheme val="major"/>
      </rPr>
      <t>**Nuevas Prestaciones Térmicas.</t>
    </r>
  </si>
  <si>
    <t>Referencia</t>
  </si>
  <si>
    <t>Nombre</t>
  </si>
  <si>
    <t>Descripción</t>
  </si>
  <si>
    <t>Dimensiones</t>
  </si>
  <si>
    <t>Unidad de Venta</t>
  </si>
  <si>
    <t>Presentación</t>
  </si>
  <si>
    <t>Precio PVP</t>
  </si>
  <si>
    <t>Columna1</t>
  </si>
  <si>
    <t>Columna2</t>
  </si>
  <si>
    <t>Descuento2</t>
  </si>
  <si>
    <t>Precio Neto</t>
  </si>
  <si>
    <t>Precio Neto2</t>
  </si>
  <si>
    <t>01.002</t>
  </si>
  <si>
    <t xml:space="preserve">Air-bur Termic S-YC 8mm   </t>
  </si>
  <si>
    <r>
      <t>Aislamiento Reflectivo. Espesor 8mm. Rt: 1,74m</t>
    </r>
    <r>
      <rPr>
        <vertAlign val="superscript"/>
        <sz val="11"/>
        <color theme="1"/>
        <rFont val="Aptos Narrow"/>
        <family val="2"/>
        <scheme val="minor"/>
      </rPr>
      <t>2</t>
    </r>
    <r>
      <rPr>
        <sz val="11"/>
        <color theme="1"/>
        <rFont val="Aptos Narrow"/>
        <family val="2"/>
        <scheme val="minor"/>
      </rPr>
      <t>K/W, en Instalación Horizontal</t>
    </r>
  </si>
  <si>
    <t>1,20m x 30m</t>
  </si>
  <si>
    <t>m2</t>
  </si>
  <si>
    <t>36m2/bobina
216m2/pallet</t>
  </si>
  <si>
    <t>8,05 €/m2</t>
  </si>
  <si>
    <t>€/m2</t>
  </si>
  <si>
    <t>01.002-1</t>
  </si>
  <si>
    <t xml:space="preserve">Air-bur Termic S-YC 8mm Adhesivo </t>
  </si>
  <si>
    <t>0,60m x 30m</t>
  </si>
  <si>
    <t>18m2/bobina
216m2/pallet</t>
  </si>
  <si>
    <t>11,30 €/m2</t>
  </si>
  <si>
    <t>01.002-2</t>
  </si>
  <si>
    <t>Aislamiento Reflectivo. Espesor 8mm. Rt: 1,74m2K/W, en Instalación Horizontal</t>
  </si>
  <si>
    <t>01.002-4</t>
  </si>
  <si>
    <t xml:space="preserve">Air-bur Termic S-YC Pol 8mm  </t>
  </si>
  <si>
    <r>
      <t>Aislamiento Reflectivo. Espesor 8mm. Rt: 1,36m</t>
    </r>
    <r>
      <rPr>
        <vertAlign val="superscript"/>
        <sz val="11"/>
        <color theme="1"/>
        <rFont val="Aptos Narrow"/>
        <family val="2"/>
        <scheme val="minor"/>
      </rPr>
      <t>2</t>
    </r>
    <r>
      <rPr>
        <sz val="11"/>
        <color theme="1"/>
        <rFont val="Aptos Narrow"/>
        <family val="2"/>
        <scheme val="minor"/>
      </rPr>
      <t>K/W, en Instalación Horizontal</t>
    </r>
  </si>
  <si>
    <t>1,20m x 35m</t>
  </si>
  <si>
    <t>42m2/bobina
252m2/pallet</t>
  </si>
  <si>
    <t>6,60 €/m2</t>
  </si>
  <si>
    <t>01.003</t>
  </si>
  <si>
    <t>Air-bur Termic S-YC 13mm</t>
  </si>
  <si>
    <r>
      <t>Aislamiento Reflectivo. Espesor 13mm. Rt: 1,90m</t>
    </r>
    <r>
      <rPr>
        <vertAlign val="superscript"/>
        <sz val="11"/>
        <color theme="1"/>
        <rFont val="Aptos Narrow"/>
        <family val="2"/>
        <scheme val="minor"/>
      </rPr>
      <t>2</t>
    </r>
    <r>
      <rPr>
        <sz val="11"/>
        <color theme="1"/>
        <rFont val="Aptos Narrow"/>
        <family val="2"/>
        <scheme val="minor"/>
      </rPr>
      <t>K/W, en Instalación Horizontal</t>
    </r>
  </si>
  <si>
    <t>1,20m x 25m</t>
  </si>
  <si>
    <t>30m2/bobina</t>
  </si>
  <si>
    <t>12,50 €/m2</t>
  </si>
  <si>
    <t>01.011</t>
  </si>
  <si>
    <t xml:space="preserve">Air-bur Termic S-YC HD (10mm) </t>
  </si>
  <si>
    <r>
      <t>Aislamiento Reflectivo. Espesor 10mm. Rt: 1,84m</t>
    </r>
    <r>
      <rPr>
        <vertAlign val="superscript"/>
        <sz val="11"/>
        <color theme="1"/>
        <rFont val="Aptos Narrow"/>
        <family val="2"/>
        <scheme val="minor"/>
      </rPr>
      <t>2</t>
    </r>
    <r>
      <rPr>
        <sz val="11"/>
        <color theme="1"/>
        <rFont val="Aptos Narrow"/>
        <family val="2"/>
        <scheme val="minor"/>
      </rPr>
      <t>K/W, en Instalación Horizontal</t>
    </r>
  </si>
  <si>
    <t>30m2/bobina
180m2/pallet</t>
  </si>
  <si>
    <t>9,45 €/m2</t>
  </si>
  <si>
    <t>Compuestos Térmico Reflectivo de Alta Eficiencia, Sin Cámara de Aire</t>
  </si>
  <si>
    <t>07.035A</t>
  </si>
  <si>
    <t>Air-bur CM XPS 24</t>
  </si>
  <si>
    <r>
      <t>Compuesto Reflectivo con XPS. Espesor 24mm. Rt: 1,83m</t>
    </r>
    <r>
      <rPr>
        <vertAlign val="superscript"/>
        <sz val="10"/>
        <color theme="1"/>
        <rFont val="Aptos Narrow"/>
        <family val="2"/>
        <scheme val="minor"/>
      </rPr>
      <t>2</t>
    </r>
    <r>
      <rPr>
        <sz val="10"/>
        <color theme="1"/>
        <rFont val="Aptos Narrow"/>
        <family val="2"/>
        <scheme val="minor"/>
      </rPr>
      <t>K/W</t>
    </r>
  </si>
  <si>
    <t>1,20m x 1,25m</t>
  </si>
  <si>
    <t>150m2/pallet</t>
  </si>
  <si>
    <t>17,50 €/m2</t>
  </si>
  <si>
    <t>07.030A</t>
  </si>
  <si>
    <t>Air-bur CM XPS 34</t>
  </si>
  <si>
    <r>
      <t>Compuesto Reflectivo con XPS. Espesor 34mm. Rt: 2,14m</t>
    </r>
    <r>
      <rPr>
        <vertAlign val="superscript"/>
        <sz val="10"/>
        <color theme="1"/>
        <rFont val="Aptos Narrow"/>
        <family val="2"/>
        <scheme val="minor"/>
      </rPr>
      <t>2</t>
    </r>
    <r>
      <rPr>
        <sz val="10"/>
        <color theme="1"/>
        <rFont val="Aptos Narrow"/>
        <family val="2"/>
        <scheme val="minor"/>
      </rPr>
      <t>K/W</t>
    </r>
  </si>
  <si>
    <t>105m2/pallet</t>
  </si>
  <si>
    <t>17,85 €/m2</t>
  </si>
  <si>
    <t>07.031A</t>
  </si>
  <si>
    <t>Air-bur CM XPS 44</t>
  </si>
  <si>
    <r>
      <t>Compuesto Reflectivo con XPS. Espesor 44mm. Rt: 2,45m</t>
    </r>
    <r>
      <rPr>
        <vertAlign val="superscript"/>
        <sz val="10"/>
        <color theme="1"/>
        <rFont val="Aptos Narrow"/>
        <family val="2"/>
        <scheme val="minor"/>
      </rPr>
      <t>2</t>
    </r>
    <r>
      <rPr>
        <sz val="10"/>
        <color theme="1"/>
        <rFont val="Aptos Narrow"/>
        <family val="2"/>
        <scheme val="minor"/>
      </rPr>
      <t>K/W</t>
    </r>
  </si>
  <si>
    <t>78m2/pallet</t>
  </si>
  <si>
    <t>19,95 €/m2</t>
  </si>
  <si>
    <t>07.032A</t>
  </si>
  <si>
    <t>Air-bur CM XPS 54</t>
  </si>
  <si>
    <r>
      <t>Compuesto Reflectivo con XPS. Espesor 54mm. Rt: 2,77m</t>
    </r>
    <r>
      <rPr>
        <vertAlign val="superscript"/>
        <sz val="10"/>
        <color theme="1"/>
        <rFont val="Aptos Narrow"/>
        <family val="2"/>
        <scheme val="minor"/>
      </rPr>
      <t>2</t>
    </r>
    <r>
      <rPr>
        <sz val="10"/>
        <color theme="1"/>
        <rFont val="Aptos Narrow"/>
        <family val="2"/>
        <scheme val="minor"/>
      </rPr>
      <t>K/W</t>
    </r>
  </si>
  <si>
    <t>66m2/pallet</t>
  </si>
  <si>
    <t>23,90 €/m2</t>
  </si>
  <si>
    <t>07.033A</t>
  </si>
  <si>
    <t>Air-bur CM XPS 64</t>
  </si>
  <si>
    <r>
      <t>Compuesto Reflectivo con XPS. Espesor 64mm. Rt: 3,08m</t>
    </r>
    <r>
      <rPr>
        <vertAlign val="superscript"/>
        <sz val="10"/>
        <color theme="1"/>
        <rFont val="Aptos Narrow"/>
        <family val="2"/>
        <scheme val="minor"/>
      </rPr>
      <t>2</t>
    </r>
    <r>
      <rPr>
        <sz val="10"/>
        <color theme="1"/>
        <rFont val="Aptos Narrow"/>
        <family val="2"/>
        <scheme val="minor"/>
      </rPr>
      <t>K/W</t>
    </r>
  </si>
  <si>
    <t>54m2/pallet</t>
  </si>
  <si>
    <t>27,85 €/m2</t>
  </si>
  <si>
    <t>07.034A</t>
  </si>
  <si>
    <t>Air-bur CM XPS 84</t>
  </si>
  <si>
    <r>
      <t>Compuesto Reflectivo con XPS. Espesor 84mm. Rt: 3,40m</t>
    </r>
    <r>
      <rPr>
        <vertAlign val="superscript"/>
        <sz val="10"/>
        <color theme="1"/>
        <rFont val="Aptos Narrow"/>
        <family val="2"/>
        <scheme val="minor"/>
      </rPr>
      <t>2</t>
    </r>
    <r>
      <rPr>
        <sz val="10"/>
        <color theme="1"/>
        <rFont val="Aptos Narrow"/>
        <family val="2"/>
        <scheme val="minor"/>
      </rPr>
      <t>K/W</t>
    </r>
  </si>
  <si>
    <t>42m2/pallet</t>
  </si>
  <si>
    <t>34,35 €/m2</t>
  </si>
  <si>
    <t>Compuestos Térmico Reflectivo de Alta Eficiencia. Sin necesidad de Cámara Estanca adicional.</t>
  </si>
  <si>
    <t>07.045A</t>
  </si>
  <si>
    <r>
      <t>Air-bur Termic CM XPS 18</t>
    </r>
    <r>
      <rPr>
        <b/>
        <sz val="12"/>
        <color theme="9" tint="-0.249977111117893"/>
        <rFont val="Aptos Narrow"/>
        <family val="2"/>
        <scheme val="minor"/>
      </rPr>
      <t xml:space="preserve">    </t>
    </r>
  </si>
  <si>
    <r>
      <t>Compuesto Reflectivo con XPS. Espesor 18mm. Rt: 2,84m</t>
    </r>
    <r>
      <rPr>
        <vertAlign val="superscript"/>
        <sz val="10"/>
        <rFont val="Aptos Narrow"/>
        <family val="2"/>
        <scheme val="minor"/>
      </rPr>
      <t>2</t>
    </r>
    <r>
      <rPr>
        <sz val="10"/>
        <rFont val="Aptos Narrow"/>
        <family val="2"/>
        <scheme val="minor"/>
      </rPr>
      <t>K/W, en Instalación Horizontal</t>
    </r>
  </si>
  <si>
    <t>1,20m x 1,20m</t>
  </si>
  <si>
    <t>180m2/pallet</t>
  </si>
  <si>
    <t>12,75 €/m2</t>
  </si>
  <si>
    <t>07.046A</t>
  </si>
  <si>
    <r>
      <t>Air-bur Termic CM XPS 28</t>
    </r>
    <r>
      <rPr>
        <b/>
        <sz val="12"/>
        <color theme="9" tint="-0.249977111117893"/>
        <rFont val="Aptos Narrow"/>
        <family val="2"/>
        <scheme val="minor"/>
      </rPr>
      <t xml:space="preserve">   </t>
    </r>
    <r>
      <rPr>
        <b/>
        <sz val="10"/>
        <color theme="9" tint="-0.249977111117893"/>
        <rFont val="Aptos Narrow"/>
        <family val="2"/>
        <scheme val="minor"/>
      </rPr>
      <t xml:space="preserve">   </t>
    </r>
  </si>
  <si>
    <r>
      <t>Compuesto Reflectivo con XPS. Espesor 28mm. Rt: 3,23m</t>
    </r>
    <r>
      <rPr>
        <vertAlign val="superscript"/>
        <sz val="10"/>
        <rFont val="Aptos Narrow"/>
        <family val="2"/>
        <scheme val="minor"/>
      </rPr>
      <t>2</t>
    </r>
    <r>
      <rPr>
        <sz val="10"/>
        <rFont val="Aptos Narrow"/>
        <family val="2"/>
        <scheme val="minor"/>
      </rPr>
      <t>K/W, en Instalación Horizontal</t>
    </r>
  </si>
  <si>
    <t>120m2/pallet</t>
  </si>
  <si>
    <t>15,90 €/m2</t>
  </si>
  <si>
    <t>07.040A</t>
  </si>
  <si>
    <r>
      <t>Air-bur Termic CM XPS 38</t>
    </r>
    <r>
      <rPr>
        <b/>
        <sz val="12"/>
        <color theme="9" tint="-0.249977111117893"/>
        <rFont val="Aptos Narrow"/>
        <family val="2"/>
        <scheme val="minor"/>
      </rPr>
      <t xml:space="preserve">   </t>
    </r>
    <r>
      <rPr>
        <b/>
        <sz val="10"/>
        <color theme="9" tint="-0.249977111117893"/>
        <rFont val="Aptos Narrow"/>
        <family val="2"/>
        <scheme val="minor"/>
      </rPr>
      <t xml:space="preserve">  </t>
    </r>
  </si>
  <si>
    <r>
      <t>Compuesto Reflectivo con XPS. Espesor 38mm. Rt: 3,67m</t>
    </r>
    <r>
      <rPr>
        <vertAlign val="superscript"/>
        <sz val="10"/>
        <rFont val="Aptos Narrow"/>
        <family val="2"/>
        <scheme val="minor"/>
      </rPr>
      <t>2</t>
    </r>
    <r>
      <rPr>
        <sz val="10"/>
        <rFont val="Aptos Narrow"/>
        <family val="2"/>
        <scheme val="minor"/>
      </rPr>
      <t>K/W, en Instalación Horizontal</t>
    </r>
  </si>
  <si>
    <t>90m2/pallet</t>
  </si>
  <si>
    <t>19,30 €/m2</t>
  </si>
  <si>
    <t>Manipulacion</t>
  </si>
  <si>
    <t>Rotura de Pallets AIR BUR CM XPS</t>
  </si>
  <si>
    <t>Concepto de Manipulación de Pallets de la Gama AIR BUR CM XPS.</t>
  </si>
  <si>
    <t>-</t>
  </si>
  <si>
    <t>Compuestos Térmico Reflectivo de Alta Eficiencia.</t>
  </si>
  <si>
    <t>07.055</t>
  </si>
  <si>
    <t>Air-bur Termic CM Rock 45/4</t>
  </si>
  <si>
    <t>Compuesto Reflectivo con Lana Roca 45kg/m3. Espesor 44mm. Rt: 2,69m2K/W, en Instalación Vertical. Suministro por Separado. Por cada 28,80m2, se suministra 4 Paquetes de lana de Roca y 1 bobina de Air-Bur Termic 30m2.</t>
  </si>
  <si>
    <t>Rollos por Separado</t>
  </si>
  <si>
    <t>28,80 m2/paquete</t>
  </si>
  <si>
    <t>14,80 €/m2</t>
  </si>
  <si>
    <t>07.057</t>
  </si>
  <si>
    <t>Air-bur Termic CM Rock 45/6</t>
  </si>
  <si>
    <t>Compuesto Reflectivo con Lana Roca 45kg/m3. Espesor 64mm. Rt: 3,30m2K/W, en Instalación Vertical. Suministro por Separado. Por cada 28,80m2, se suministra 5 Paquetes de lana de Roca y 1 bobina de Air-Bur Termic 30m2.</t>
  </si>
  <si>
    <t>19,80 €/m2</t>
  </si>
  <si>
    <t>07.060</t>
  </si>
  <si>
    <t>Air-bur Termic CM Rock 70/4</t>
  </si>
  <si>
    <t>Compuesto Reflectivo con Lana Roca 70kg/m3. Espesor 44mm. Rt: 2,69m2K/W, en Instalación Vertical. Suministro por Separado. Por cada 28,80m2, se suministra 4 Paquetes de lana de Roca y 1 bobina de Air-Bur Termic 30m2.</t>
  </si>
  <si>
    <t>16,75 €/m2</t>
  </si>
  <si>
    <t>07.062</t>
  </si>
  <si>
    <t>Air-bur Termic CM Rock 70/6</t>
  </si>
  <si>
    <t>Compuesto Reflectivo con Lana Roca 70kg/m3. Espesor 64mm. Rt: 3,30m2K/W, en Instalación Vertical. Suministro por Separado. Por cada 28,80m2, se suministra 5 Paquetes de lana de Roca y 1 bobina de Air-Bur Termic 30m2.</t>
  </si>
  <si>
    <t>22,75 €/m2</t>
  </si>
  <si>
    <t>07.080</t>
  </si>
  <si>
    <t>Air-bur Termic CM Mineral 54 (400)</t>
  </si>
  <si>
    <t>Compuesto Reflectivo con Lana Mineral. Espesor 54mm. Rt: 2,83m2K/W, en Instalación Vertical. Suministro por separado. Por cada 30m2, se suministra 2 Paquetes de lana mineral y 1 bobina de Air-Bur Termic 30m2.</t>
  </si>
  <si>
    <t>30 m2/paquete</t>
  </si>
  <si>
    <t>6,95 €/m2</t>
  </si>
  <si>
    <t>07.081</t>
  </si>
  <si>
    <t>Air-bur Termic CM Mineral 54 (600)</t>
  </si>
  <si>
    <t>07.085</t>
  </si>
  <si>
    <t>Air-bur Termic CM Mineral 64 (400)</t>
  </si>
  <si>
    <t>Compuesto Reflectivo con Lana Mineral. Espesor 64mm. Rt: 3,10m2K/W, en Instalación Vertical. Suministro por separado. Por cada 26,40m2, se suministra 2 Paquetes de lana mineral y 1 bobina de Air-Bur Termic 30m2.</t>
  </si>
  <si>
    <t>26,40 m2/paquete</t>
  </si>
  <si>
    <t>7,45 €/m2</t>
  </si>
  <si>
    <t>07.086</t>
  </si>
  <si>
    <t>Air-bur Termic CM Mineral 64 (600)</t>
  </si>
  <si>
    <t>Aislamiento Térmico Reflectivo en Cámara Estanca</t>
  </si>
  <si>
    <t>01.001</t>
  </si>
  <si>
    <t>Air-bur Termic 10 (4mm) (60m2)</t>
  </si>
  <si>
    <r>
      <t>Aislamiento Reflectivo. Espesor 4mm. Rt: 1,48m</t>
    </r>
    <r>
      <rPr>
        <vertAlign val="superscript"/>
        <sz val="11"/>
        <color theme="1"/>
        <rFont val="Aptos Narrow"/>
        <family val="2"/>
        <scheme val="minor"/>
      </rPr>
      <t>2</t>
    </r>
    <r>
      <rPr>
        <sz val="11"/>
        <color theme="1"/>
        <rFont val="Aptos Narrow"/>
        <family val="2"/>
        <scheme val="minor"/>
      </rPr>
      <t>K/W, en Instalación Vertical</t>
    </r>
  </si>
  <si>
    <t>1,20m x 50m</t>
  </si>
  <si>
    <t>60m2/bobina
360m2/pallet</t>
  </si>
  <si>
    <t>5,05 €/m2</t>
  </si>
  <si>
    <t>01.001-1</t>
  </si>
  <si>
    <t>Air-bur Termic 10 (4mm) (12m2)</t>
  </si>
  <si>
    <t>1,20m x 10m</t>
  </si>
  <si>
    <t>12m2/bobina
240m2/pallet</t>
  </si>
  <si>
    <t>5,85 €/m2</t>
  </si>
  <si>
    <t>01.001-2</t>
  </si>
  <si>
    <t>Air-bur Termic 10 (4mm) (30m2)</t>
  </si>
  <si>
    <t>30m2/bobina
360m2/pallet</t>
  </si>
  <si>
    <t>5,50 €/m2</t>
  </si>
  <si>
    <t>01.015</t>
  </si>
  <si>
    <t xml:space="preserve">Air-bur Termic DB (6mm)     </t>
  </si>
  <si>
    <r>
      <t>Aislamiento Reflectivo. Espesor 6mm. Rt: 1,56m</t>
    </r>
    <r>
      <rPr>
        <vertAlign val="superscript"/>
        <sz val="11"/>
        <color theme="1"/>
        <rFont val="Aptos Narrow"/>
        <family val="2"/>
        <scheme val="minor"/>
      </rPr>
      <t>2</t>
    </r>
    <r>
      <rPr>
        <sz val="11"/>
        <color theme="1"/>
        <rFont val="Aptos Narrow"/>
        <family val="2"/>
        <scheme val="minor"/>
      </rPr>
      <t>K/W, en Instalación Vertical</t>
    </r>
  </si>
  <si>
    <t>01.012</t>
  </si>
  <si>
    <t xml:space="preserve">Air-bur Termic DBF (9mm)   </t>
  </si>
  <si>
    <r>
      <t>Aislamiento Reflectivo. Espesor 9mm. Rt: 1,78m</t>
    </r>
    <r>
      <rPr>
        <vertAlign val="superscript"/>
        <sz val="11"/>
        <color theme="1"/>
        <rFont val="Aptos Narrow"/>
        <family val="2"/>
        <scheme val="minor"/>
      </rPr>
      <t>2</t>
    </r>
    <r>
      <rPr>
        <sz val="11"/>
        <color theme="1"/>
        <rFont val="Aptos Narrow"/>
        <family val="2"/>
        <scheme val="minor"/>
      </rPr>
      <t>K/W, en Instalación Vertical</t>
    </r>
  </si>
  <si>
    <t>11,15 €/m2</t>
  </si>
  <si>
    <t>01.004</t>
  </si>
  <si>
    <t>Air-bur Termic 9</t>
  </si>
  <si>
    <r>
      <t>Aislamiento Reflectivo Multicapas. Espesor 12mm. Rt: 2,00m</t>
    </r>
    <r>
      <rPr>
        <vertAlign val="superscript"/>
        <sz val="11"/>
        <color theme="1"/>
        <rFont val="Aptos Narrow"/>
        <family val="2"/>
        <scheme val="minor"/>
      </rPr>
      <t>2</t>
    </r>
    <r>
      <rPr>
        <sz val="11"/>
        <color theme="1"/>
        <rFont val="Aptos Narrow"/>
        <family val="2"/>
        <scheme val="minor"/>
      </rPr>
      <t>K/W, en Instalación Vertical</t>
    </r>
  </si>
  <si>
    <t>1,50m x 10m</t>
  </si>
  <si>
    <t>15m2/bobina</t>
  </si>
  <si>
    <t>9,80 €/m2</t>
  </si>
  <si>
    <t>01.005</t>
  </si>
  <si>
    <t>Air-bur Termic 15</t>
  </si>
  <si>
    <r>
      <t>Aislamiento Reflectivo Multicapas. Espesor 25mm. Rt: 2,11m</t>
    </r>
    <r>
      <rPr>
        <vertAlign val="superscript"/>
        <sz val="11"/>
        <color theme="1"/>
        <rFont val="Aptos Narrow"/>
        <family val="2"/>
        <scheme val="minor"/>
      </rPr>
      <t>2</t>
    </r>
    <r>
      <rPr>
        <sz val="11"/>
        <color theme="1"/>
        <rFont val="Aptos Narrow"/>
        <family val="2"/>
        <scheme val="minor"/>
      </rPr>
      <t>K/W, en Instalación Vertical</t>
    </r>
  </si>
  <si>
    <t>01.006</t>
  </si>
  <si>
    <t>Air-bur Termic 19</t>
  </si>
  <si>
    <r>
      <t>Aislamiento Reflectivo Multicapas. Espesor 30mm. Rt: 2,92m</t>
    </r>
    <r>
      <rPr>
        <vertAlign val="superscript"/>
        <sz val="11"/>
        <color theme="1"/>
        <rFont val="Aptos Narrow"/>
        <family val="2"/>
        <scheme val="minor"/>
      </rPr>
      <t>2</t>
    </r>
    <r>
      <rPr>
        <sz val="11"/>
        <color theme="1"/>
        <rFont val="Aptos Narrow"/>
        <family val="2"/>
        <scheme val="minor"/>
      </rPr>
      <t>K/W, en Instalación Vertical</t>
    </r>
  </si>
  <si>
    <t>14,20 €/m2</t>
  </si>
  <si>
    <t>01.007</t>
  </si>
  <si>
    <t>Air-bur Multitermic</t>
  </si>
  <si>
    <r>
      <t>Aislamiento Reflectivo Multicapas. Espesor 18mm. Rt: 2,07m</t>
    </r>
    <r>
      <rPr>
        <vertAlign val="superscript"/>
        <sz val="11"/>
        <color theme="1"/>
        <rFont val="Aptos Narrow"/>
        <family val="2"/>
        <scheme val="minor"/>
      </rPr>
      <t>2</t>
    </r>
    <r>
      <rPr>
        <sz val="11"/>
        <color theme="1"/>
        <rFont val="Aptos Narrow"/>
        <family val="2"/>
        <scheme val="minor"/>
      </rPr>
      <t>K/W, en Instalación Vertical</t>
    </r>
  </si>
  <si>
    <t>15,05 €/m2</t>
  </si>
  <si>
    <t>01.008</t>
  </si>
  <si>
    <t>Air-bur Termic S (4mm) (60m2)</t>
  </si>
  <si>
    <r>
      <t>Aislamiento Reflectivo. Espesor 4mm. Rt: 0,82m</t>
    </r>
    <r>
      <rPr>
        <vertAlign val="superscript"/>
        <sz val="11"/>
        <color theme="1"/>
        <rFont val="Aptos Narrow"/>
        <family val="2"/>
        <scheme val="minor"/>
      </rPr>
      <t>2</t>
    </r>
    <r>
      <rPr>
        <sz val="11"/>
        <color theme="1"/>
        <rFont val="Aptos Narrow"/>
        <family val="2"/>
        <scheme val="minor"/>
      </rPr>
      <t>K/W, en Instalación Vertical</t>
    </r>
  </si>
  <si>
    <t>4,80 €/m2</t>
  </si>
  <si>
    <t>01.008-1</t>
  </si>
  <si>
    <t xml:space="preserve">Air-bur Termic S Adhesivo (4mm) </t>
  </si>
  <si>
    <r>
      <t>Aislamiento Reflectivo. Espesor 4mm. Rt: 0,82m</t>
    </r>
    <r>
      <rPr>
        <vertAlign val="superscript"/>
        <sz val="11"/>
        <color theme="1"/>
        <rFont val="Aptos Narrow"/>
        <family val="2"/>
        <scheme val="minor"/>
      </rPr>
      <t>2</t>
    </r>
    <r>
      <rPr>
        <sz val="11"/>
        <color theme="1"/>
        <rFont val="Aptos Narrow"/>
        <family val="2"/>
        <scheme val="minor"/>
      </rPr>
      <t>K/W. Adhesivo, en Instalación Vertical</t>
    </r>
  </si>
  <si>
    <t>7,95 €/m2</t>
  </si>
  <si>
    <t>01.009</t>
  </si>
  <si>
    <t>Air-bur Termic PT (4mm) (12m2)</t>
  </si>
  <si>
    <r>
      <t>Aislamiento Reflectivo. Espesor 4mm. Rt: 0,16m</t>
    </r>
    <r>
      <rPr>
        <vertAlign val="superscript"/>
        <sz val="11"/>
        <color theme="1"/>
        <rFont val="Aptos Narrow"/>
        <family val="2"/>
        <scheme val="minor"/>
      </rPr>
      <t>2</t>
    </r>
    <r>
      <rPr>
        <sz val="11"/>
        <color theme="1"/>
        <rFont val="Aptos Narrow"/>
        <family val="2"/>
        <scheme val="minor"/>
      </rPr>
      <t>K/W, en Instalación Vertical</t>
    </r>
  </si>
  <si>
    <t>0,60m x 20m</t>
  </si>
  <si>
    <t>mL</t>
  </si>
  <si>
    <t>20mL/bobina</t>
  </si>
  <si>
    <t>6,25 €/mL</t>
  </si>
  <si>
    <t>€/mL</t>
  </si>
  <si>
    <t>01.002-3</t>
  </si>
  <si>
    <t>Air-bur Termic PT S-YC (8mm)</t>
  </si>
  <si>
    <r>
      <t>Aislamiento Reflectivo. Espesor 8mm. Rt: 0,95m</t>
    </r>
    <r>
      <rPr>
        <vertAlign val="superscript"/>
        <sz val="11"/>
        <color theme="1"/>
        <rFont val="Aptos Narrow"/>
        <family val="2"/>
        <scheme val="minor"/>
      </rPr>
      <t>2</t>
    </r>
    <r>
      <rPr>
        <sz val="11"/>
        <color theme="1"/>
        <rFont val="Aptos Narrow"/>
        <family val="2"/>
        <scheme val="minor"/>
      </rPr>
      <t>K/W, en Instalación Vertical</t>
    </r>
  </si>
  <si>
    <t>9,20 €/mL</t>
  </si>
  <si>
    <t>Aislamiento Térmico Reflectivo Para Bricolaje</t>
  </si>
  <si>
    <t>02.010</t>
  </si>
  <si>
    <r>
      <t xml:space="preserve">Termoreflex 15 (25mm)
</t>
    </r>
    <r>
      <rPr>
        <b/>
        <sz val="12"/>
        <color rgb="FF0667A4"/>
        <rFont val="Aptos Narrow"/>
        <family val="2"/>
        <scheme val="minor"/>
      </rPr>
      <t>**Novedad</t>
    </r>
  </si>
  <si>
    <r>
      <t>Aislamiento Reflectivo Multicapas. Espesor 25mm. Rt: 2,09m</t>
    </r>
    <r>
      <rPr>
        <vertAlign val="superscript"/>
        <sz val="11"/>
        <rFont val="Aptos Narrow"/>
        <family val="2"/>
        <scheme val="minor"/>
      </rPr>
      <t>2</t>
    </r>
    <r>
      <rPr>
        <sz val="11"/>
        <rFont val="Aptos Narrow"/>
        <family val="2"/>
        <scheme val="minor"/>
      </rPr>
      <t>K/W, en Instalación Vertical</t>
    </r>
  </si>
  <si>
    <t>10,50 €/m2</t>
  </si>
  <si>
    <t>02.005</t>
  </si>
  <si>
    <t>Termoreflex Alu (4mm)</t>
  </si>
  <si>
    <r>
      <t>Aislamiento Reflectivo. Espesor 4mm. Rt: 1,48m</t>
    </r>
    <r>
      <rPr>
        <vertAlign val="superscript"/>
        <sz val="11"/>
        <rFont val="Aptos Narrow"/>
        <family val="2"/>
        <scheme val="minor"/>
      </rPr>
      <t>2</t>
    </r>
    <r>
      <rPr>
        <sz val="11"/>
        <rFont val="Aptos Narrow"/>
        <family val="2"/>
        <scheme val="minor"/>
      </rPr>
      <t>K/W, en Instalación Vertical</t>
    </r>
  </si>
  <si>
    <t>3,45 €/m2</t>
  </si>
  <si>
    <t>Aislamiento Acústico en Espuma Aglomerada</t>
  </si>
  <si>
    <t>11.000</t>
  </si>
  <si>
    <t>Air-bur Aglo 80/3</t>
  </si>
  <si>
    <t>Espuma Aglomerada Autoextinguible de PUR. Densidad 80kg/m3. Espesor 30mm</t>
  </si>
  <si>
    <t>1,00m x 2,00m</t>
  </si>
  <si>
    <t>80m2/pallet</t>
  </si>
  <si>
    <t>9,25 €/m2</t>
  </si>
  <si>
    <t>11.001</t>
  </si>
  <si>
    <t>Air-bur Aglo 80/4</t>
  </si>
  <si>
    <t>Espuma Aglomerada Autoextinguible de PUR. Densidad 80kg/m3. Espesor 40mm</t>
  </si>
  <si>
    <t>60m2/pallet</t>
  </si>
  <si>
    <t>12,15 €/m2</t>
  </si>
  <si>
    <t>11.002</t>
  </si>
  <si>
    <t>Air-bur Aglo 80/6</t>
  </si>
  <si>
    <t>Espuma Aglomerada Autoextinguible de PUR. Densidad 80kg/m3. Espesor 60mm</t>
  </si>
  <si>
    <t>40m2/pallet</t>
  </si>
  <si>
    <t>18,45 €/m2</t>
  </si>
  <si>
    <t>11.006</t>
  </si>
  <si>
    <t>Air-bur Aglo 80/8</t>
  </si>
  <si>
    <t>Espuma Aglomerada Autoextinguible de PUR. Densidad 80kg/m3. Espesor 80mm</t>
  </si>
  <si>
    <t>30m2/pallet</t>
  </si>
  <si>
    <t>25,00 €/m2</t>
  </si>
  <si>
    <t>11.003</t>
  </si>
  <si>
    <t>Air-bur Aglo 120/2</t>
  </si>
  <si>
    <t>Espuma Aglomerada Autoextinguible de PUR. Densidad 120kg/m3. Espesor 20mm</t>
  </si>
  <si>
    <t>10,75 €/m2</t>
  </si>
  <si>
    <t>11.005</t>
  </si>
  <si>
    <t>Air-bur Aglo 120/3</t>
  </si>
  <si>
    <t>Espuma Aglomerada Autoextinguible de PUR. Densidad 120kg/m3. Espesor 30mm</t>
  </si>
  <si>
    <t>16,35 €/m2</t>
  </si>
  <si>
    <t>11.004</t>
  </si>
  <si>
    <t>Air-bur Aglo 150/2</t>
  </si>
  <si>
    <t>Espuma Aglomerada Autoextinguible de PUR. Densidad 150kg/m3. Espesor 20mm</t>
  </si>
  <si>
    <t>13,80 €/m2</t>
  </si>
  <si>
    <t>11.001b</t>
  </si>
  <si>
    <t>Air-bur Aglo 80/4 PYL</t>
  </si>
  <si>
    <t>Espuma Aglomerada Autoextinguible de PUR. Densidad 80kg/m3. Espesor 40mm. Especial PYL.</t>
  </si>
  <si>
    <t>0,60m x 1,20m</t>
  </si>
  <si>
    <t>13,25 €/m2</t>
  </si>
  <si>
    <t>Aislamiento Acústico - Láminas Viscoelásticas Pesadas</t>
  </si>
  <si>
    <t>12.001</t>
  </si>
  <si>
    <t>Air-bur Masa 35</t>
  </si>
  <si>
    <t>Lámina Viscoelástica. Gramaje 3,5kg/m2. Espesor 2mm. Rollo</t>
  </si>
  <si>
    <t>1,00m x 12m</t>
  </si>
  <si>
    <t>360m2/pallet</t>
  </si>
  <si>
    <t>4,75 €/m2</t>
  </si>
  <si>
    <t>12.002</t>
  </si>
  <si>
    <t>Air-bur Masa 60</t>
  </si>
  <si>
    <t>Lámina Viscoelástica. Gramaje 6,0kg/m2. Espesor 4mm. Rollo</t>
  </si>
  <si>
    <t>1,00m x 6m</t>
  </si>
  <si>
    <t>198m2/pallet</t>
  </si>
  <si>
    <t>7,50 €/m2</t>
  </si>
  <si>
    <t>12.003</t>
  </si>
  <si>
    <t>Air-bur Masa 60A</t>
  </si>
  <si>
    <t>Lámina Viscoelástica. Gramaje 6,0kg/m2. Espesor 4mm. Rollo Adhesivo</t>
  </si>
  <si>
    <t>12.004</t>
  </si>
  <si>
    <t>Air-bur Masa 60AP</t>
  </si>
  <si>
    <t>Lámina Viscoelástica. Gramaje 6,0kg/m2. Espesor 4mm. Plancha Adhesivo</t>
  </si>
  <si>
    <t>1,00m x 1,20m</t>
  </si>
  <si>
    <t>Aislamiento Acústico -  Complejos Multicapa</t>
  </si>
  <si>
    <t>14.001</t>
  </si>
  <si>
    <t>Air-bur Noise 35</t>
  </si>
  <si>
    <t>Complejo Acústico Multicapas. Lámina Viscoelástica+Tejido Espesor 18mm. Rollo</t>
  </si>
  <si>
    <t>72m2/pallet</t>
  </si>
  <si>
    <t>12,60 €/m2</t>
  </si>
  <si>
    <t>14.002</t>
  </si>
  <si>
    <t>Air-bur Noise 60</t>
  </si>
  <si>
    <t>Complejo Acústico Multicapas. Lámina Viscoelástica+Tejido Espesor 20mm. Rollo</t>
  </si>
  <si>
    <t>18.009</t>
  </si>
  <si>
    <r>
      <t xml:space="preserve">Air-bur SolCoustic           </t>
    </r>
    <r>
      <rPr>
        <b/>
        <i/>
        <u/>
        <sz val="12"/>
        <color rgb="FF7CAF2A"/>
        <rFont val="Aptos Narrow"/>
        <family val="2"/>
        <scheme val="minor"/>
      </rPr>
      <t xml:space="preserve"> **Novedad</t>
    </r>
  </si>
  <si>
    <t>Complejo Acústico Multicapas. Lámina Viscoelástica+Polietileno Reticulado Espesor 5mm. Rollo</t>
  </si>
  <si>
    <t>12m2/rollo</t>
  </si>
  <si>
    <t>16,40 €/m2</t>
  </si>
  <si>
    <t>18.010</t>
  </si>
  <si>
    <r>
      <t xml:space="preserve">Air-bur Mass Aglo           </t>
    </r>
    <r>
      <rPr>
        <b/>
        <i/>
        <u/>
        <sz val="12"/>
        <color rgb="FF7CAF2A"/>
        <rFont val="Aptos Narrow"/>
        <family val="2"/>
        <scheme val="minor"/>
      </rPr>
      <t xml:space="preserve"> **Novedad</t>
    </r>
  </si>
  <si>
    <t>Complejo Acústico Multicapas. Lámina Viscoelástica+Aglomerado Espesor 44mm. Plancha</t>
  </si>
  <si>
    <t>0,72m2/plancha</t>
  </si>
  <si>
    <t>19,60 €/m2</t>
  </si>
  <si>
    <t>18.011</t>
  </si>
  <si>
    <r>
      <t xml:space="preserve">Air-bur Mass Aglo Duo   </t>
    </r>
    <r>
      <rPr>
        <b/>
        <i/>
        <u/>
        <sz val="12"/>
        <color rgb="FF7CAF2A"/>
        <rFont val="Aptos Narrow"/>
        <family val="2"/>
        <scheme val="minor"/>
      </rPr>
      <t xml:space="preserve"> **Novedad</t>
    </r>
  </si>
  <si>
    <t>Complejo Acústico Multicapas. Lámina Viscoelástica+ Doble Aglomerado Espesor 44mm. Plancha</t>
  </si>
  <si>
    <t>2,00m x 1,00m</t>
  </si>
  <si>
    <t>2,00m2/plancha</t>
  </si>
  <si>
    <t>29,60 €/m2</t>
  </si>
  <si>
    <t>18.012</t>
  </si>
  <si>
    <r>
      <t xml:space="preserve">Air-bur Mass Rock          </t>
    </r>
    <r>
      <rPr>
        <b/>
        <i/>
        <u/>
        <sz val="12"/>
        <color rgb="FF7CAF2A"/>
        <rFont val="Aptos Narrow"/>
        <family val="2"/>
        <scheme val="minor"/>
      </rPr>
      <t xml:space="preserve"> **Novedad</t>
    </r>
  </si>
  <si>
    <t>Complejo Acústico Multicapas. Lámina Viscoelástica+ Lana Roca Espesor 44mm. Plancha</t>
  </si>
  <si>
    <t>29,80 €/m2</t>
  </si>
  <si>
    <t>10.010</t>
  </si>
  <si>
    <t>Air-bur Felt 40</t>
  </si>
  <si>
    <t>Tejido de Algodón Reciclado Aislante. Espesor: 40mm</t>
  </si>
  <si>
    <t>103,68m2/pallet</t>
  </si>
  <si>
    <t>8,90 €/m2</t>
  </si>
  <si>
    <t>10.012</t>
  </si>
  <si>
    <t>Air-bur Felt 60</t>
  </si>
  <si>
    <t>Tejido de Algodón Reciclado Aislante. Espesor: 60mm</t>
  </si>
  <si>
    <t>69,12m2/pallet</t>
  </si>
  <si>
    <t>Aislamiento Acústico -  Ruidos de Bajantes</t>
  </si>
  <si>
    <t>16.004</t>
  </si>
  <si>
    <t>Air-bur Bajantes 500</t>
  </si>
  <si>
    <t>Complejo Acústico Multicapas para Bajantes. Lámina Viscoelástica+Polietileno Reticulado Espesor 5mm. Rollo</t>
  </si>
  <si>
    <t>0,50m x 12m</t>
  </si>
  <si>
    <t>12mL/Rollo</t>
  </si>
  <si>
    <t>8,30 €/mL</t>
  </si>
  <si>
    <t>16.005</t>
  </si>
  <si>
    <t>Air-bur Bajantes 160</t>
  </si>
  <si>
    <t>Complejo Acústico Multicapas para Codos de Bajantes. Lámina Viscoelástica+Polietileno Reticulado Espesor 5mm. Rollo</t>
  </si>
  <si>
    <t>0,16m x 12m</t>
  </si>
  <si>
    <t>2,70 €/mL</t>
  </si>
  <si>
    <t>Aislamiento Acústico -  Bandas Acústicas</t>
  </si>
  <si>
    <t>16.001</t>
  </si>
  <si>
    <t>Air-bur Banda 50</t>
  </si>
  <si>
    <t>Banda Acústica Adhesiva. Polietileno Reticulado Espesor: 3mm</t>
  </si>
  <si>
    <t>50mm x 30m</t>
  </si>
  <si>
    <t>Unidad</t>
  </si>
  <si>
    <t>20 Rollos/Caja</t>
  </si>
  <si>
    <t>7,70 €/ud</t>
  </si>
  <si>
    <t>€/ud</t>
  </si>
  <si>
    <t>16.002</t>
  </si>
  <si>
    <t>Air-bur Banda 70</t>
  </si>
  <si>
    <t>70mm x 30m</t>
  </si>
  <si>
    <t>14 Rollos/Caja</t>
  </si>
  <si>
    <t>10,90 €/ud</t>
  </si>
  <si>
    <t>16.003</t>
  </si>
  <si>
    <t>Air-bur Banda 90</t>
  </si>
  <si>
    <t>90mm x 30m</t>
  </si>
  <si>
    <t>11 Rollos/Caja</t>
  </si>
  <si>
    <t>13,95 €/ud</t>
  </si>
  <si>
    <t>16.011</t>
  </si>
  <si>
    <t>Air-bur Banda Plus 50</t>
  </si>
  <si>
    <t>Banda Acústica Adhesiva. Lámina Viscoelástica</t>
  </si>
  <si>
    <t>50mm x 6m</t>
  </si>
  <si>
    <t>12 Rollos/Caja</t>
  </si>
  <si>
    <t>0,95 €/mL</t>
  </si>
  <si>
    <t>16.012</t>
  </si>
  <si>
    <t>Air-bur Banda Plus 70</t>
  </si>
  <si>
    <t>70mm x 6m</t>
  </si>
  <si>
    <t>8 Rollos/Caja</t>
  </si>
  <si>
    <t>1,30 €/mL</t>
  </si>
  <si>
    <t>16.013</t>
  </si>
  <si>
    <t>Air-bur Banda Plus 90</t>
  </si>
  <si>
    <t>90mm x 6m</t>
  </si>
  <si>
    <t>6 Rollos/Caja</t>
  </si>
  <si>
    <t>1,70 €/mL</t>
  </si>
  <si>
    <t>16.016</t>
  </si>
  <si>
    <t>Air-bur Banda Multicapa 50</t>
  </si>
  <si>
    <t>Banda Acústica Adhesiva. Lámina Viscoelástica + Polietileno Reticulado</t>
  </si>
  <si>
    <t>50mm x 12m</t>
  </si>
  <si>
    <t>1 Rollo/Caja</t>
  </si>
  <si>
    <t>1,35 €/mL</t>
  </si>
  <si>
    <t>16.017</t>
  </si>
  <si>
    <r>
      <t xml:space="preserve">Air-bur Banda DC 50           </t>
    </r>
    <r>
      <rPr>
        <b/>
        <sz val="12"/>
        <color rgb="FF7CAF2A"/>
        <rFont val="Aptos Narrow"/>
        <family val="2"/>
        <scheme val="minor"/>
      </rPr>
      <t>**Novedad</t>
    </r>
  </si>
  <si>
    <t>Banda Acústica Doble Adhesiva. Polietileno Reticulado Espesor: 3mm</t>
  </si>
  <si>
    <t>15,50 €/ud</t>
  </si>
  <si>
    <t>Aislamiento Acústico -  Absorbentes de ECOs y Reverberación</t>
  </si>
  <si>
    <t>15.001</t>
  </si>
  <si>
    <t>Air-bur Silence</t>
  </si>
  <si>
    <t>Espuma PUR. Tratamiento de ECO. Acabado Liso</t>
  </si>
  <si>
    <t xml:space="preserve"> 1,50m2/Paquete</t>
  </si>
  <si>
    <t>15.001A</t>
  </si>
  <si>
    <t>Air-bur Silence Adhesivo</t>
  </si>
  <si>
    <t>Espuma PUR. Tratamiento de ECO. Acabado Liso. Adhesivo</t>
  </si>
  <si>
    <t>Air-bur Silence Piramidal</t>
  </si>
  <si>
    <t>Espuma PUR. Tratamiento de ECO. Acabado Piramidal</t>
  </si>
  <si>
    <t>Air-bur Silence Piramidal Adhesivo</t>
  </si>
  <si>
    <t>Espuma PUR. Tratamiento de ECO. Acabado Piramidal. Adhesivo</t>
  </si>
  <si>
    <t>15.003</t>
  </si>
  <si>
    <t>Air-bur Silence Ondas</t>
  </si>
  <si>
    <t>Espuma PUR. Tratamiento de ECO. Acabado Ondas</t>
  </si>
  <si>
    <t xml:space="preserve"> 2,50m2/Paquete</t>
  </si>
  <si>
    <t>15.003A</t>
  </si>
  <si>
    <t>Air-bur Silence Ondas Adhesivo</t>
  </si>
  <si>
    <t>Espuma PUR. Tratamiento de ECO. Acabado Ondas. Adhesivo</t>
  </si>
  <si>
    <t>15.004</t>
  </si>
  <si>
    <t>Air-bur Silence+</t>
  </si>
  <si>
    <t>Espuma Melamina Ignifuga. Tratamiento de ECO. Acabado Liso</t>
  </si>
  <si>
    <t xml:space="preserve"> 1,215m2/Paquete</t>
  </si>
  <si>
    <t>59,50 €/m2</t>
  </si>
  <si>
    <t>15.004A</t>
  </si>
  <si>
    <t>Air-bur Silence+ Adhesivado</t>
  </si>
  <si>
    <t>Espuma Melamina Ignifuga. Tratamiento de ECO. Acabado Liso. Adhesivo</t>
  </si>
  <si>
    <t>65,50 €/m2</t>
  </si>
  <si>
    <t>Aislamiento Anti Impacto para Suelos y Recrecidos de Mortero - Polietileno Reticulado</t>
  </si>
  <si>
    <t>20.003</t>
  </si>
  <si>
    <t>Air-bur Reticulado 5mm</t>
  </si>
  <si>
    <t>Polietileno Reticulado. Espesor 5mm</t>
  </si>
  <si>
    <t>1,50m x 50m</t>
  </si>
  <si>
    <t>75m2/rollo</t>
  </si>
  <si>
    <t>2,45 €/m2</t>
  </si>
  <si>
    <t>20.004</t>
  </si>
  <si>
    <t>Air-bur Reticulado 10mm</t>
  </si>
  <si>
    <t>Polietileno Reticulado. Espesor 10mm</t>
  </si>
  <si>
    <t>4,85 €/m2</t>
  </si>
  <si>
    <t>Aislamiento Anti Impacto para Suelos y Recrecidos de Mortero - Espuma Polietileno No Reticulado</t>
  </si>
  <si>
    <t>22.002</t>
  </si>
  <si>
    <t>Air-bur Impact 3mm</t>
  </si>
  <si>
    <t>Espuma Polietileno no Reticulado - Foam. Espesor 3mm</t>
  </si>
  <si>
    <t>1,20m x 150m</t>
  </si>
  <si>
    <t>180m2/rollo</t>
  </si>
  <si>
    <t>0,60 €/m2</t>
  </si>
  <si>
    <t>22.003</t>
  </si>
  <si>
    <t>Air-bur Impact 5mm</t>
  </si>
  <si>
    <t>Espuma Polietileno no Reticulado - Foam. Espesor 5mm</t>
  </si>
  <si>
    <t>1,24m x 150m</t>
  </si>
  <si>
    <t>186m2/rollo</t>
  </si>
  <si>
    <t>0,90 €/m2</t>
  </si>
  <si>
    <t>22.004</t>
  </si>
  <si>
    <t>Air-bur Impact 10mm</t>
  </si>
  <si>
    <t>Espuma Polietileno no Reticulado - Foam. Espesor 10mm</t>
  </si>
  <si>
    <t>60m2/rollo</t>
  </si>
  <si>
    <t>2,95 €/m2</t>
  </si>
  <si>
    <t>Aislamiento Anti Impacto para Suelos y Recrecidos de Mortero - Bandas Perimetrales</t>
  </si>
  <si>
    <t>16.009</t>
  </si>
  <si>
    <t>Air-bur Perimetral S-YC Adh</t>
  </si>
  <si>
    <t>Banda Perimetral. Air-bur Termic S-YC Adh. Espesor 8mm</t>
  </si>
  <si>
    <t>0,15m x 30m</t>
  </si>
  <si>
    <t>120mL/Rollo</t>
  </si>
  <si>
    <t>1,95 €/mL</t>
  </si>
  <si>
    <t>16.010</t>
  </si>
  <si>
    <t>Air-bur Perimetral S-YC</t>
  </si>
  <si>
    <t>Banda Perimetral. Air-bur Termic S-YC. Espesor 8mm</t>
  </si>
  <si>
    <t>240mL/Rollo</t>
  </si>
  <si>
    <t>1,45 €/mL</t>
  </si>
  <si>
    <t>16.008</t>
  </si>
  <si>
    <t>Air-bur Perimetral 5mm</t>
  </si>
  <si>
    <t>Banda Perimetral. Espuma de Polietileno. Espesor 5mm</t>
  </si>
  <si>
    <t>0,15m x 150m</t>
  </si>
  <si>
    <t>1200mL/Rollo</t>
  </si>
  <si>
    <t>0,43 €/mL</t>
  </si>
  <si>
    <t>16.006</t>
  </si>
  <si>
    <t>Air-bur Perimetral RT 5mm</t>
  </si>
  <si>
    <t>Banda Perimetral. Polietileno Reticulado. Espesor 5mm</t>
  </si>
  <si>
    <t>0,15m x 50m</t>
  </si>
  <si>
    <t>500mL/Rollo</t>
  </si>
  <si>
    <t>16.007</t>
  </si>
  <si>
    <t>Air-bur Perimetral RT 10mm</t>
  </si>
  <si>
    <t>Banda Perimetral. Polietileno Reticulado. Espesor 10mm</t>
  </si>
  <si>
    <t>1,90 €/mL</t>
  </si>
  <si>
    <t xml:space="preserve">Aislamiento Anti Impacto para Suelos Laminados y Parquet - Espuma Polietileno No Reticulado Laminados </t>
  </si>
  <si>
    <t>22.005</t>
  </si>
  <si>
    <t>Air-bur Impact Plus 2mm (75m2)</t>
  </si>
  <si>
    <t>Espuma Polietileno no Reticulado - Foam Laminado LDPE. Espesor 2mm</t>
  </si>
  <si>
    <t>22.005-1</t>
  </si>
  <si>
    <t>Air-bur Impact Plus 2mm (30m2)</t>
  </si>
  <si>
    <t>30m2/rollo</t>
  </si>
  <si>
    <t>22.006</t>
  </si>
  <si>
    <t>Air-bur Impact Plus 3mm (75m2)</t>
  </si>
  <si>
    <t>Espuma Polietileno no Reticulado - Foam Laminado LDPE. Espesor 3mm</t>
  </si>
  <si>
    <t>22.007</t>
  </si>
  <si>
    <t>Air-bur Impact Silver 3mm (60m2)</t>
  </si>
  <si>
    <t>Espuma Polietileno no Reticulado - Foam Laminado Aluminio. Espesor 3mm</t>
  </si>
  <si>
    <t>1,75 €/m2</t>
  </si>
  <si>
    <t xml:space="preserve">1,20 </t>
  </si>
  <si>
    <t>0,68 €/m2</t>
  </si>
  <si>
    <t>Aislamiento Anti Impacto para Suelos Laminados y Parquet - Material de Goma EVA - Sin Laminar</t>
  </si>
  <si>
    <t>21.001</t>
  </si>
  <si>
    <t>Air-bur Sound 2mm</t>
  </si>
  <si>
    <t>Material Goma EVA. Sin Laminar. Espesor 2mm</t>
  </si>
  <si>
    <t>1,00m x 25m</t>
  </si>
  <si>
    <t>25m2/bobina
800m2/pallet</t>
  </si>
  <si>
    <t>21.004</t>
  </si>
  <si>
    <t>Air-bur Sound 3mm</t>
  </si>
  <si>
    <t>Material Goma EVA. Sin Laminar. Espesor 3mm</t>
  </si>
  <si>
    <t>1,00m x 20m</t>
  </si>
  <si>
    <t>20m2/bobina
640m2/pallet</t>
  </si>
  <si>
    <t>21.006</t>
  </si>
  <si>
    <t>Air-bur Sound 5mm</t>
  </si>
  <si>
    <t>Material Goma EVA. Sin Laminar. Espesor 5mm</t>
  </si>
  <si>
    <t>30m2/bobina
270m2/pallet</t>
  </si>
  <si>
    <t>4,30 €/m2</t>
  </si>
  <si>
    <t>21.012</t>
  </si>
  <si>
    <t xml:space="preserve">Air-bur Sound HD Vinilyc 1,5mm           </t>
  </si>
  <si>
    <t>Material Goma EVA Alta Densidad. Sin Laminar. Espesor 1,5mm. Suelos Vinílicos</t>
  </si>
  <si>
    <t>Aislamiento Anti Impacto para Suelos Laminados y Parquet - Material de Goma EVA - Laminados</t>
  </si>
  <si>
    <t>21.002</t>
  </si>
  <si>
    <t>Air-bur Sound Plus 2mm</t>
  </si>
  <si>
    <t>Material Goma EVA. Laminado LDPE. Espesor 2mm</t>
  </si>
  <si>
    <t>2,00 €/m2</t>
  </si>
  <si>
    <t>21.005</t>
  </si>
  <si>
    <t>Air-bur Sound Plus 3mm</t>
  </si>
  <si>
    <t>Material Goma EVA. Laminado LDPE. Espesor 3mm</t>
  </si>
  <si>
    <t>21.008</t>
  </si>
  <si>
    <t>Air-bur Sound Plus MP 2mm</t>
  </si>
  <si>
    <t>Material Goma IXPE Microperforado. Laminado LDPE. Espesor 2mm</t>
  </si>
  <si>
    <t>21.003</t>
  </si>
  <si>
    <t>Air-bur Sound Silver 2mm</t>
  </si>
  <si>
    <t>Material Goma EVA. Laminado Aluminio. Espesor 2mm</t>
  </si>
  <si>
    <t>21.010</t>
  </si>
  <si>
    <t>Air-bur Sound Pol 2mm</t>
  </si>
  <si>
    <t>Material Goma EVA. Laminado Poliéster Aluminizado. Espesor 2mm</t>
  </si>
  <si>
    <t>2,20 €/m2</t>
  </si>
  <si>
    <t>Complementos de Instalación para Parquet</t>
  </si>
  <si>
    <t>98.001</t>
  </si>
  <si>
    <t>Lámina Reguladora Sustrato Madera</t>
  </si>
  <si>
    <t>Lámina reguladora de suelos. Sustrato Madera 5mm</t>
  </si>
  <si>
    <t>0,79m x 0,59m</t>
  </si>
  <si>
    <t>7,00 m2/paquete</t>
  </si>
  <si>
    <t>98.003</t>
  </si>
  <si>
    <t>Cartón Ondulado CO100-1</t>
  </si>
  <si>
    <t>Lámina Cartón Ondulado para suelos</t>
  </si>
  <si>
    <t>1,00m x 50m</t>
  </si>
  <si>
    <t>50 m2/rollo</t>
  </si>
  <si>
    <t>98.011</t>
  </si>
  <si>
    <t>Papel Protectivo Reutilizable</t>
  </si>
  <si>
    <t>Lámina Papel Protectivo reutilizable para suelos</t>
  </si>
  <si>
    <t>Bobina de 40,5m2</t>
  </si>
  <si>
    <t>40,50 m2/bobina</t>
  </si>
  <si>
    <t>98.012</t>
  </si>
  <si>
    <t xml:space="preserve">Lámina Reguladora XPS 7mm </t>
  </si>
  <si>
    <t>Plancha reguladora. XPS Espesor:7mm</t>
  </si>
  <si>
    <t>60 x 0,60m x 1,20m</t>
  </si>
  <si>
    <t>43,20 m2/paquete</t>
  </si>
  <si>
    <t>53.001</t>
  </si>
  <si>
    <t>Air-bur Vapor 200</t>
  </si>
  <si>
    <t>Plástico LDPE Galga 200 para suelos</t>
  </si>
  <si>
    <t>3.00m x 50m; Plegado a 1,50m</t>
  </si>
  <si>
    <t>150,00 m2/bobina</t>
  </si>
  <si>
    <t>53.002</t>
  </si>
  <si>
    <t>Air-bur Vapor 400</t>
  </si>
  <si>
    <t>Plástico LDPE Galga 400 para suelos</t>
  </si>
  <si>
    <t>Complementos Generales de Instalación</t>
  </si>
  <si>
    <t>99.001</t>
  </si>
  <si>
    <t>Air-bur CintAlu50</t>
  </si>
  <si>
    <t>Cinta de Aluminio. Solape de Aislamientos</t>
  </si>
  <si>
    <t>45mm x 50m</t>
  </si>
  <si>
    <t>1 Rollo</t>
  </si>
  <si>
    <t>17,40 €/ud</t>
  </si>
  <si>
    <t>99.002</t>
  </si>
  <si>
    <t>Air-bur CintPol75</t>
  </si>
  <si>
    <t>Cinta de Poliéster Aluminizado. Solape de Aislamientos</t>
  </si>
  <si>
    <t>75mm x 50m</t>
  </si>
  <si>
    <t>24,70 €/ud</t>
  </si>
  <si>
    <t>99.003</t>
  </si>
  <si>
    <t>Air-bur Cinta DC</t>
  </si>
  <si>
    <t>Cinta de Doble Cara</t>
  </si>
  <si>
    <t>30mm x 50m</t>
  </si>
  <si>
    <t>99.004</t>
  </si>
  <si>
    <t>Air-bur Cola Contacto 20L</t>
  </si>
  <si>
    <t>Cola Adhesiva de Contacto</t>
  </si>
  <si>
    <t>Bote 20L</t>
  </si>
  <si>
    <t>275,00 €/bote</t>
  </si>
  <si>
    <t>€/bote</t>
  </si>
  <si>
    <t>99.005</t>
  </si>
  <si>
    <t>Air-bur Cola Contacto 5L</t>
  </si>
  <si>
    <t>Bote 5L</t>
  </si>
  <si>
    <t>76,00 €/bote</t>
  </si>
  <si>
    <t>99.006</t>
  </si>
  <si>
    <t>Air-bur Taco 70</t>
  </si>
  <si>
    <t>Taco de Polipropileno. Anclaje Aislamientos. Largo 70mm</t>
  </si>
  <si>
    <t>Caja</t>
  </si>
  <si>
    <t>250 Unid/ Caja</t>
  </si>
  <si>
    <t>50,00 €/caja</t>
  </si>
  <si>
    <t>€/caja</t>
  </si>
  <si>
    <t>99.007</t>
  </si>
  <si>
    <t>Air-bur Taco 90</t>
  </si>
  <si>
    <t>Taco de Polipropileno. Anclaje Aislamientos. Largo 90mm</t>
  </si>
  <si>
    <t>53,00 €/caja</t>
  </si>
  <si>
    <t>99.008</t>
  </si>
  <si>
    <t>Air-bur Taco 110</t>
  </si>
  <si>
    <t>Taco de Polipropileno. Anclaje Aislamientos. Largo 110mm</t>
  </si>
  <si>
    <t>59,50 €/caja</t>
  </si>
  <si>
    <t>99.009</t>
  </si>
  <si>
    <t>Air-bur Taco 130</t>
  </si>
  <si>
    <t>Taco de Polipropileno. Anclaje Aislamientos. Largo 130mm</t>
  </si>
  <si>
    <t>65,85 €/caja</t>
  </si>
  <si>
    <t>99.010</t>
  </si>
  <si>
    <t>Air-bur CintPex50</t>
  </si>
  <si>
    <t>Cinta de Polietileno Reticulado para el sellado de Juntas. Espesor 3mm</t>
  </si>
  <si>
    <t>45mm x 30m</t>
  </si>
  <si>
    <t>99.011</t>
  </si>
  <si>
    <t>Air-bur CintPex70</t>
  </si>
  <si>
    <t>Consulte la política de envío y devoluciones con su Técnico Comercial designado. Asimismo, las características particulares y técnicas de cada producto en la web www.bur2000.com. Atención al Cliente: +34 936 33 33 19. Estos precios serán válidos durante la vigencia de esta tarifa que entra en vigor a partir de la fecha de aplicación indicada. Los términos y precios que se incorporan en el presente documento anulan los publicados y/o comunicados con anterioridad.</t>
  </si>
  <si>
    <t>GLOSARIO DE CAMBIOS</t>
  </si>
  <si>
    <t>CONDICIONES GENERALES DE VENTAS</t>
  </si>
  <si>
    <r>
      <rPr>
        <b/>
        <sz val="12"/>
        <rFont val="Aptos Narrow"/>
        <family val="2"/>
        <scheme val="minor"/>
      </rPr>
      <t xml:space="preserve">1. DISPOSICIÓN GENERAL: </t>
    </r>
    <r>
      <rPr>
        <sz val="12"/>
        <rFont val="Aptos Narrow"/>
        <family val="2"/>
        <scheme val="minor"/>
      </rPr>
      <t xml:space="preserve">
Todo pedido por parte del Cliente se regirá por lo dispuesto en las presentes condiciones generales de venta y las particulares que, se suscriban entre las partes. La realización de un pedido por el Cliente implica por su parte la aceptación de las condiciones de venta. Todo pedido será gestionado a través del canal Distribución.                                                                                                                                                                                                                                                                   
</t>
    </r>
    <r>
      <rPr>
        <b/>
        <sz val="12"/>
        <rFont val="Aptos Narrow"/>
        <family val="2"/>
        <scheme val="minor"/>
      </rPr>
      <t xml:space="preserve">2. ENTREGA Y TRANSPORTE: 
</t>
    </r>
    <r>
      <rPr>
        <sz val="12"/>
        <rFont val="Aptos Narrow"/>
        <family val="2"/>
        <scheme val="minor"/>
      </rPr>
      <t xml:space="preserve">La entrega se entenderá realizada al momento de la carga de los materiales en nuestro almacén con transporte ajeno, mediante la firma del albarán correspondiente por el transportista. Con carácter general, y salvo pacto escrito en contrario, todos los pedidos se efectúan bajo condiciones “Ex Works” Abrera Barcelona (Incoterm 2010), en otras palabras, los portes se consideran debidos y se cargarán los importes correspondientes en facturación.
Los portes serán considerados como pagados mientras el cliente cumpla con los condicionales que se le haya comunicado con anterioridad; Transportes especiales en entregas en Obra (Camión grúas, accesos limitados a destinos, descargas superiores) que produzcan un sobrecoste en la gestión logística, será repercutido en el pedido de venta relacionado; es por ello, que se recomienda que se informen todas estas circunstancias en conjunto al requerimiento de pedido.
Los plazos de entrega indicados de forma escrita o verbal son meramente informativos y los retrasos eventuales que puedan suscitar no facultan al Cliente para Anular el pedido ni reclamar daños o prejuicios.
El riesgo por pérdida y/o daños sólo recaerá en BUR2000 en expediciones contratadas por la empresa, surtiendo los efectos anteriormente descritos a la entrega de la mercancía. Todos los materiales suministrados deben ser revisados y examinados por el Cliente en el momento de la entrega. BUR2000 no garantiza la exacta correspondencia de las muestras comerciales con las mercancías entregadas. 
Los materiales suministrados se entenderán aceptados por el Cliente, en cuanto a lo reflejado en el pedido, si en un plazo de 48 horas, a contar desde la entrega, no manifiesta expresamente lo contrario; Transcurrido dicho plazo BUR2000 no admitirá reclamación alguna sobre calidad o cantidad, ni quedará obligada por ello. 
</t>
    </r>
    <r>
      <rPr>
        <b/>
        <sz val="12"/>
        <rFont val="Aptos Narrow"/>
        <family val="2"/>
        <scheme val="minor"/>
      </rPr>
      <t xml:space="preserve">3. DEVOLUCIONES: </t>
    </r>
    <r>
      <rPr>
        <sz val="12"/>
        <rFont val="Aptos Narrow"/>
        <family val="2"/>
        <scheme val="minor"/>
      </rPr>
      <t xml:space="preserve">
En cualquier caso, la responsabilidad de BUR2000 por los materiales suministrados que se compruebe que son defectuosos queda limitada, a la reposición del material que se demuestre efectivamente en mal estado. Se debe acreditar tal circunstancia. En ningún caso será de aplicación lo dispuesto anteriormente, si el cliente no está al corriente de pago, renunciando expresamente en tal caso a reclamar cualquier sustitución de material que fuese defectuoso. No se admitirán devoluciones correspondientes a albaranes no aceptados con sello y firma del Cliente a su recepción. 
BUR2000 no admitirá devoluciones sobre los productos suministrados una vez transcurridos 10 días desde la fecha de entrega. Cualquier solicitud de reclamación a BUR2000 deberá realizarse dentro del plazo señalado, a través del formulario de reclamaciones ubicado en nuestra página web, o a través del link: https://www.bur2000.com/reclamaciones. Los gastos derivados del transporte y que se ocasionen como consecuencia de la devolución de mercancía serán en todo caso por cuenta del cliente, salvo que la devolución venga ocasionada por un defecto de la mercancía que sea reconocido por el departamento de calidad de BUR2000. 
</t>
    </r>
    <r>
      <rPr>
        <b/>
        <sz val="12"/>
        <rFont val="Aptos Narrow"/>
        <family val="2"/>
        <scheme val="minor"/>
      </rPr>
      <t xml:space="preserve">4. PEDIDOS ESPECIALES: </t>
    </r>
    <r>
      <rPr>
        <sz val="12"/>
        <rFont val="Aptos Narrow"/>
        <family val="2"/>
        <scheme val="minor"/>
      </rPr>
      <t xml:space="preserve">
Todo pedido que haya sido fabricado para un cliente atendiendo a las especificaciones técnicas por éste facilitadas se considerarán como pedidos especiales y, por tanto, no se admitirá su anulación por parte del Cliente una vez fabricado el producto ni su devolución posterior salvo defectos en la calidad intrínseca del mismo. 
</t>
    </r>
    <r>
      <rPr>
        <b/>
        <sz val="12"/>
        <rFont val="Aptos Narrow"/>
        <family val="2"/>
        <scheme val="minor"/>
      </rPr>
      <t>5. FACTURACIÓN Y PAGO:</t>
    </r>
    <r>
      <rPr>
        <sz val="12"/>
        <rFont val="Aptos Narrow"/>
        <family val="2"/>
        <scheme val="minor"/>
      </rPr>
      <t xml:space="preserve"> 
La mercancía podrá ser facturada a partir del momento de su expedición en las condiciones y plazos convenidos al efectuar el pedido y reflejados en la factura. El plazo de Pago será pactado previamente al pedido oficial, no pudiendo superar los 60 días naturales. Si el cliente no entregara a BUR2000 cheque, confirming o pagaré en el plazo pactado, perderá todo derecho al plazo concedido para el pago y se reputará como venta al contado en operaciones sucesivas. La entrega de pagarés, letras de cambio u otros efectos de comercio no tendrán consideración de pago mientras los mismos no se hagan efectivos. 
El suministro quedará condicionado, en todo momento, a la asignación y aceptación del riesgo por Bur 2000.
En los precios de esta tarifa de Precios de Venta al Público, no está incluido el IVA, cuyo importe será objeto de cargo en la factura.
En caso de incumplimiento del pago de alguna factura a su vencimiento, independientemente de las acciones a que dé lugar, el Cliente deberá abonar el importe debido y todos los gastos originados por dicho incumplimiento. Asimismo BUR2000 suspenderá de inmediato los envíos pendientes hasta que no se efectúe el pago por adelantado. 
</t>
    </r>
    <r>
      <rPr>
        <b/>
        <sz val="12"/>
        <rFont val="Aptos Narrow"/>
        <family val="2"/>
        <scheme val="minor"/>
      </rPr>
      <t xml:space="preserve">6. GARANTÍA: </t>
    </r>
    <r>
      <rPr>
        <sz val="12"/>
        <rFont val="Aptos Narrow"/>
        <family val="2"/>
        <scheme val="minor"/>
      </rPr>
      <t xml:space="preserve">
BUR2000 garantiza sus productos según lo establecido en el Código Técnico de la Edificación, siempre y cuando se haya hecho una correcta manipulación y almacenaje de los productos y se esté al corriente de pago. 
</t>
    </r>
    <r>
      <rPr>
        <b/>
        <sz val="12"/>
        <rFont val="Aptos Narrow"/>
        <family val="2"/>
        <scheme val="minor"/>
      </rPr>
      <t>7. LEY APLICABLE Y JURISDICCIÓN:</t>
    </r>
    <r>
      <rPr>
        <sz val="12"/>
        <rFont val="Aptos Narrow"/>
        <family val="2"/>
        <scheme val="minor"/>
      </rPr>
      <t xml:space="preserve">
Se regirán con el Derecho Español. Todo litigio o discrepancia resultantes de la ejecución o interpretación de las presentes condiciones se someterá a los Juzgados y Tribunales de la ciudad de Barcelona, con renuncia expresa a su propio fuero.
</t>
    </r>
    <r>
      <rPr>
        <b/>
        <sz val="12"/>
        <rFont val="Aptos Narrow"/>
        <family val="2"/>
        <scheme val="minor"/>
      </rPr>
      <t>8.RGPD</t>
    </r>
    <r>
      <rPr>
        <sz val="12"/>
        <rFont val="Aptos Narrow"/>
        <family val="2"/>
        <scheme val="minor"/>
      </rPr>
      <t xml:space="preserve">
En virtud de lo dispuesto por el Reglamento (UE) 2016/679 del Parlamento Europeo y del Consejo, de 27 de abril de 2016, se informa al cliente que los datos personales facilitados serán incorporados a un fichero titularidad de BUR 2000 S.A., cuya finalidad es la gestión administrativa, contable, fiscal y presupuestaria. Podrá ejercer en cualquier momento los derechos A.R.C.O., así como el resto de los derechos recogidos en el citado Reglamento acreditando identificación, en la siguiente dirección CARRER PROGRES 45 08850 GAVA BARCELONA ESPANA, o por correo electrónico a administracion@bur2000.com. Si quiere obtener más información sobre nosotros y sobre nuestra política de Privacidad, por favor acceder al siguiente enlace www.bur2000.com</t>
    </r>
  </si>
  <si>
    <t>53,28m2/pallet</t>
  </si>
  <si>
    <t>0,80 €/m2</t>
  </si>
  <si>
    <t>0,95 €/m2</t>
  </si>
  <si>
    <t>1,45 €/m2</t>
  </si>
  <si>
    <t>1,80 €/m2</t>
  </si>
  <si>
    <t>2,80 €/m2</t>
  </si>
  <si>
    <t>2,50 €/m2</t>
  </si>
  <si>
    <t>2,10 €/m2</t>
  </si>
  <si>
    <t>9,00 €/m2</t>
  </si>
  <si>
    <t>0,21 €/m2</t>
  </si>
  <si>
    <t>0,44 €/m2</t>
  </si>
  <si>
    <t>52.001</t>
  </si>
  <si>
    <t>52.002</t>
  </si>
  <si>
    <t>52.003</t>
  </si>
  <si>
    <t>52.004</t>
  </si>
  <si>
    <t>80.001</t>
  </si>
  <si>
    <t>80.002</t>
  </si>
  <si>
    <t>81.001</t>
  </si>
  <si>
    <t>82.001</t>
  </si>
  <si>
    <t>82.002</t>
  </si>
  <si>
    <t>82.900</t>
  </si>
  <si>
    <t>82.901</t>
  </si>
  <si>
    <t>Air-bur Geotextil Poliéster 120</t>
  </si>
  <si>
    <t>Air-bur Geotextil Poliéster 150</t>
  </si>
  <si>
    <t>Air-bur Geotextil Poliéster 200</t>
  </si>
  <si>
    <t>Air-bur Geotextil Poliéster 300</t>
  </si>
  <si>
    <t>Air-bur Fix</t>
  </si>
  <si>
    <t>Air-bur Lim</t>
  </si>
  <si>
    <t>Air-bur Emulsión</t>
  </si>
  <si>
    <t>Air-bur Dren</t>
  </si>
  <si>
    <t>Air-bur Dren Plus</t>
  </si>
  <si>
    <t>2,20m x 150m</t>
  </si>
  <si>
    <t>2,00m x 100m</t>
  </si>
  <si>
    <t>2,20m x 125m</t>
  </si>
  <si>
    <t>2,20m x 75m</t>
  </si>
  <si>
    <t>0,82 €/m2</t>
  </si>
  <si>
    <t>1,03 €/m2</t>
  </si>
  <si>
    <t>1,32 €/m2</t>
  </si>
  <si>
    <t>2,06 €/m2</t>
  </si>
  <si>
    <t>Lámina Geotextil. Material Poliéster. Gramaje 120 gr/m2</t>
  </si>
  <si>
    <t>Lámina Geotextil. Material Poliéster. Gramaje 150 gr/m2</t>
  </si>
  <si>
    <t>Lámina Geotextil. Material Poliéster. Gramaje 200 gr/m2</t>
  </si>
  <si>
    <t>Lámina Geotextil. Material Poliéster. Gramaje 300 gr/m2</t>
  </si>
  <si>
    <t>Puente de Unión para obras. Bote de 20L</t>
  </si>
  <si>
    <t>Bote 20l</t>
  </si>
  <si>
    <t>Bote</t>
  </si>
  <si>
    <t>131,80 €/bote</t>
  </si>
  <si>
    <t>72,20 €/bote</t>
  </si>
  <si>
    <t>Limpiador industrial para obra. Anticalcáreo.</t>
  </si>
  <si>
    <t>Pintura Asfáltica aniónica.</t>
  </si>
  <si>
    <t>Bote 25kg</t>
  </si>
  <si>
    <t>kg</t>
  </si>
  <si>
    <t>3,06 €/kg</t>
  </si>
  <si>
    <t>Lámina drenante HDPE. Gg400gr/m2.</t>
  </si>
  <si>
    <t>Lámina drenante HDPE. Gg400gr/m2. C/ Lámina geotextil</t>
  </si>
  <si>
    <t>2,00m x 20m</t>
  </si>
  <si>
    <t>5,34 €/m2</t>
  </si>
  <si>
    <t>2,90 €/m2</t>
  </si>
  <si>
    <t>40 m2 / Bobina             600 m2/pallet</t>
  </si>
  <si>
    <t>40 m2 / Bobina             240 m2/pallet</t>
  </si>
  <si>
    <t>Tacos/botones para el anclaje de Membranas Drenantes</t>
  </si>
  <si>
    <t>Perfiles para el anclaje de Membranas Drenantes</t>
  </si>
  <si>
    <t>Caja 100 unidades</t>
  </si>
  <si>
    <t>Perfil 2,00 m largo</t>
  </si>
  <si>
    <t>17,33 €/caja</t>
  </si>
  <si>
    <t>4,68 €/perfil</t>
  </si>
  <si>
    <t>Air-bur Dren Boton</t>
  </si>
  <si>
    <t>Air-bur Dren Profil</t>
  </si>
  <si>
    <t>Air-bur Imper TR135</t>
  </si>
  <si>
    <t>83.001</t>
  </si>
  <si>
    <t>Air-bur Imper TR150</t>
  </si>
  <si>
    <t>83.002</t>
  </si>
  <si>
    <t>1,95 €/m2</t>
  </si>
  <si>
    <t>Air-bur Imper TR180</t>
  </si>
  <si>
    <t>Membrana impermeable, transpirable 135g/m2</t>
  </si>
  <si>
    <t>Membrana impermeable, transpirable 150g/m2</t>
  </si>
  <si>
    <t>Membrana impermeable, transpirable 180g/m2</t>
  </si>
  <si>
    <t>15.005</t>
  </si>
  <si>
    <t>Air-bur Silence Sierra</t>
  </si>
  <si>
    <t>500mm x 500mm; 
Paq. de 6 unidades</t>
  </si>
  <si>
    <t>500mm x 500mm; 
Paq. de 10 unidades</t>
  </si>
  <si>
    <t>450mm x 450mm; 
Paq. de 6 unidades</t>
  </si>
  <si>
    <t>450mm x 450mm; 
Paq. de 8 unidades</t>
  </si>
  <si>
    <t xml:space="preserve"> 1,62m2/Paquete</t>
  </si>
  <si>
    <t>Air-bur Silence Sierra Adhesivo</t>
  </si>
  <si>
    <t>15.005A</t>
  </si>
  <si>
    <t>15.006</t>
  </si>
  <si>
    <t>15.006A</t>
  </si>
  <si>
    <t>Espuma PUR. Tratamiento de ECO. Acabado Sierra</t>
  </si>
  <si>
    <t>Espuma PUR. Tratamiento de ECO. Acabado Sierra. Adhesivo</t>
  </si>
  <si>
    <t>83.003</t>
  </si>
  <si>
    <r>
      <rPr>
        <b/>
        <sz val="12"/>
        <rFont val="Aptos Narrow"/>
        <family val="2"/>
        <scheme val="minor"/>
      </rPr>
      <t xml:space="preserve">1. INCORPORACIÓN NUEVOS PRODUCTOS
 - GAMA ACÚSTICA
    Aislamiento Acústico -  Absorbentes de ECOs y Reverberación
- PRODUCTOS PARA IMPERMEABILIZACIÓN
    Air-Bur Imper TR135
    Air-Bur Imper TR150
    Air-Bur Imper TR180
</t>
    </r>
    <r>
      <rPr>
        <sz val="12"/>
        <rFont val="Aptos Narrow"/>
        <family val="2"/>
        <scheme val="minor"/>
      </rPr>
      <t xml:space="preserve">                                                                                                                                          </t>
    </r>
  </si>
  <si>
    <t>3,00m x 50m; 
Plegado a 1,50m</t>
  </si>
  <si>
    <t>330 m2/bobina   
2.970 m2/pallet</t>
  </si>
  <si>
    <t>275 m2/bobina    
2.475 m2/pallet</t>
  </si>
  <si>
    <t>200 m2/bobina    
1.800 m2/pallet</t>
  </si>
  <si>
    <t>165 m2/bobina   
 1.350 m2/pallet</t>
  </si>
  <si>
    <t>150 m2/bobina</t>
  </si>
  <si>
    <t>150m2/bobina</t>
  </si>
  <si>
    <t>75 m2 / Bobina
3.750 m2/pallet</t>
  </si>
  <si>
    <t>18,30 €/m2</t>
  </si>
  <si>
    <t>24,30 €/m2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</si>
</sst>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0.00\ &quot;€&quot;"/>
    <numFmt numFmtId="166" formatCode="#,##0.00000\ &quot;€&quot;"/>
    <numFmt numFmtId="167" formatCode="_(* #,##0.00_);_(* \(#,##0.00\);_(* &quot;-&quot;??_);_(@_)"/>
  </numFmts>
  <fonts count="46" x14ac:knownFonts="1">
    <font>
      <sz val="11"/>
      <name val="Aptos Narrow"/>
      <family val="1"/>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rgb="FFFF0000"/>
      <name val="Aptos Narrow"/>
      <family val="2"/>
      <scheme val="minor"/>
    </font>
    <font>
      <sz val="11"/>
      <name val="Aptos Narrow"/>
      <family val="1"/>
      <scheme val="minor"/>
    </font>
    <font>
      <sz val="11"/>
      <color theme="1" tint="0.24994659260841701"/>
      <name val="Aptos Display"/>
      <family val="2"/>
      <scheme val="major"/>
    </font>
    <font>
      <b/>
      <sz val="18"/>
      <name val="Aptos Display"/>
      <family val="2"/>
      <scheme val="major"/>
    </font>
    <font>
      <b/>
      <sz val="24"/>
      <color theme="4" tint="-0.499984740745262"/>
      <name val="Aptos Display"/>
      <family val="2"/>
      <scheme val="major"/>
    </font>
    <font>
      <sz val="24"/>
      <color theme="4" tint="-0.499984740745262"/>
      <name val="Aptos Display"/>
      <family val="2"/>
      <charset val="238"/>
      <scheme val="major"/>
    </font>
    <font>
      <sz val="11"/>
      <name val="Aptos Narrow"/>
      <family val="2"/>
      <scheme val="minor"/>
    </font>
    <font>
      <i/>
      <sz val="11"/>
      <color theme="1" tint="0.24994659260841701"/>
      <name val="Aptos Display"/>
      <family val="2"/>
      <scheme val="major"/>
    </font>
    <font>
      <b/>
      <i/>
      <sz val="11"/>
      <color theme="1" tint="0.24994659260841701"/>
      <name val="Aptos Display"/>
      <family val="2"/>
      <scheme val="major"/>
    </font>
    <font>
      <i/>
      <sz val="11"/>
      <color theme="1" tint="0.24994659260841701"/>
      <name val="Aptos Display"/>
      <family val="2"/>
      <charset val="238"/>
      <scheme val="major"/>
    </font>
    <font>
      <sz val="12"/>
      <color theme="1"/>
      <name val="Aptos Narrow"/>
      <family val="1"/>
      <scheme val="minor"/>
    </font>
    <font>
      <b/>
      <sz val="12"/>
      <color theme="1"/>
      <name val="Aptos Narrow"/>
      <family val="2"/>
      <scheme val="minor"/>
    </font>
    <font>
      <sz val="11"/>
      <color theme="1"/>
      <name val="Aptos Narrow"/>
      <family val="1"/>
      <scheme val="minor"/>
    </font>
    <font>
      <b/>
      <i/>
      <sz val="11"/>
      <color rgb="FF0667A4"/>
      <name val="Aptos Display"/>
      <family val="2"/>
      <scheme val="major"/>
    </font>
    <font>
      <b/>
      <sz val="12"/>
      <name val="Aptos Narrow"/>
      <family val="2"/>
      <charset val="238"/>
      <scheme val="minor"/>
    </font>
    <font>
      <b/>
      <sz val="11"/>
      <name val="Aptos Narrow"/>
      <family val="2"/>
      <charset val="238"/>
      <scheme val="minor"/>
    </font>
    <font>
      <vertAlign val="superscript"/>
      <sz val="11"/>
      <color theme="1"/>
      <name val="Aptos Narrow"/>
      <family val="2"/>
      <scheme val="minor"/>
    </font>
    <font>
      <b/>
      <sz val="12"/>
      <name val="Aptos Narrow"/>
      <family val="2"/>
      <scheme val="minor"/>
    </font>
    <font>
      <sz val="12"/>
      <color theme="1"/>
      <name val="Aptos Narrow"/>
      <family val="2"/>
      <scheme val="minor"/>
    </font>
    <font>
      <b/>
      <sz val="12"/>
      <color rgb="FFFF0000"/>
      <name val="Aptos Narrow"/>
      <family val="2"/>
      <scheme val="minor"/>
    </font>
    <font>
      <sz val="10"/>
      <color theme="1"/>
      <name val="Aptos Narrow"/>
      <family val="2"/>
      <scheme val="minor"/>
    </font>
    <font>
      <vertAlign val="superscript"/>
      <sz val="10"/>
      <color theme="1"/>
      <name val="Aptos Narrow"/>
      <family val="2"/>
      <scheme val="minor"/>
    </font>
    <font>
      <sz val="12"/>
      <name val="Aptos Narrow"/>
      <family val="2"/>
      <scheme val="minor"/>
    </font>
    <font>
      <b/>
      <sz val="12"/>
      <color theme="9" tint="-0.249977111117893"/>
      <name val="Aptos Narrow"/>
      <family val="2"/>
      <scheme val="minor"/>
    </font>
    <font>
      <vertAlign val="superscript"/>
      <sz val="10"/>
      <name val="Aptos Narrow"/>
      <family val="2"/>
      <scheme val="minor"/>
    </font>
    <font>
      <sz val="10"/>
      <name val="Aptos Narrow"/>
      <family val="2"/>
      <scheme val="minor"/>
    </font>
    <font>
      <b/>
      <sz val="10"/>
      <color theme="9" tint="-0.249977111117893"/>
      <name val="Aptos Narrow"/>
      <family val="2"/>
      <scheme val="minor"/>
    </font>
    <font>
      <b/>
      <sz val="11"/>
      <name val="Aptos Narrow"/>
      <family val="2"/>
      <scheme val="minor"/>
    </font>
    <font>
      <b/>
      <sz val="12"/>
      <color rgb="FF0667A4"/>
      <name val="Aptos Narrow"/>
      <family val="2"/>
      <scheme val="minor"/>
    </font>
    <font>
      <vertAlign val="superscript"/>
      <sz val="11"/>
      <name val="Aptos Narrow"/>
      <family val="2"/>
      <scheme val="minor"/>
    </font>
    <font>
      <b/>
      <i/>
      <u/>
      <sz val="12"/>
      <color rgb="FF7CAF2A"/>
      <name val="Aptos Narrow"/>
      <family val="2"/>
      <scheme val="minor"/>
    </font>
    <font>
      <b/>
      <sz val="12"/>
      <color rgb="FF7CAF2A"/>
      <name val="Aptos Narrow"/>
      <family val="2"/>
      <scheme val="minor"/>
    </font>
    <font>
      <b/>
      <sz val="9"/>
      <name val="Aptos Narrow"/>
      <family val="2"/>
      <scheme val="minor"/>
    </font>
    <font>
      <sz val="9"/>
      <name val="Aptos Narrow"/>
      <family val="2"/>
      <scheme val="minor"/>
    </font>
    <font>
      <b/>
      <sz val="14"/>
      <name val="Aptos Narrow"/>
      <family val="2"/>
      <scheme val="minor"/>
    </font>
    <font>
      <sz val="14"/>
      <name val="Aptos Narrow"/>
      <family val="2"/>
      <scheme val="minor"/>
    </font>
    <font>
      <sz val="8"/>
      <name val="Aptos Narrow"/>
      <family val="1"/>
      <scheme val="minor"/>
    </font>
    <font>
      <b/>
      <sz val="12"/>
      <color theme="0"/>
      <name val="Aptos Narrow"/>
      <family val="2"/>
      <charset val="238"/>
      <scheme val="minor"/>
    </font>
    <font>
      <b/>
      <sz val="11"/>
      <color theme="0"/>
      <name val="Aptos Narrow"/>
      <family val="2"/>
      <charset val="238"/>
      <scheme val="minor"/>
    </font>
    <font>
      <b/>
      <sz val="12"/>
      <color theme="1" tint="0.24994659260841701"/>
      <name val="Aptos Narrow"/>
      <family val="2"/>
      <scheme val="minor"/>
    </font>
  </fonts>
  <fills count="10">
    <fill>
      <patternFill patternType="none"/>
    </fill>
    <fill>
      <patternFill patternType="gray125"/>
    </fill>
    <fill>
      <patternFill patternType="solid">
        <fgColor indexed="9"/>
        <bgColor indexed="64"/>
      </patternFill>
    </fill>
    <fill>
      <patternFill patternType="solid">
        <fgColor rgb="FF0667A4"/>
        <bgColor indexed="64"/>
      </patternFill>
    </fill>
    <fill>
      <patternFill patternType="solid">
        <fgColor rgb="FF7CAF2A"/>
        <bgColor indexed="64"/>
      </patternFill>
    </fill>
    <fill>
      <patternFill patternType="solid">
        <fgColor rgb="FFF09703"/>
        <bgColor indexed="64"/>
      </patternFill>
    </fill>
    <fill>
      <patternFill patternType="solid">
        <fgColor rgb="FF706F6F"/>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s>
  <borders count="13">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otted">
        <color theme="4" tint="-0.499984740745262"/>
      </left>
      <right style="dotted">
        <color theme="4" tint="-0.499984740745262"/>
      </right>
      <top/>
      <bottom/>
      <diagonal/>
    </border>
    <border>
      <left style="thin">
        <color theme="4" tint="-0.499984740745262"/>
      </left>
      <right style="dotted">
        <color theme="4" tint="-0.499984740745262"/>
      </right>
      <top/>
      <bottom/>
      <diagonal/>
    </border>
    <border>
      <left style="dotted">
        <color theme="4" tint="-0.499984740745262"/>
      </left>
      <right style="thin">
        <color theme="4" tint="-0.499984740745262"/>
      </right>
      <top/>
      <bottom/>
      <diagonal/>
    </border>
    <border>
      <left style="dotted">
        <color theme="4" tint="-0.499984740745262"/>
      </left>
      <right style="thin">
        <color indexed="64"/>
      </right>
      <top/>
      <bottom/>
      <diagonal/>
    </border>
    <border>
      <left style="thin">
        <color theme="4" tint="-0.499984740745262"/>
      </left>
      <right style="dotted">
        <color theme="4" tint="-0.499984740745262"/>
      </right>
      <top/>
      <bottom style="thin">
        <color indexed="64"/>
      </bottom>
      <diagonal/>
    </border>
    <border>
      <left style="dotted">
        <color theme="4" tint="-0.499984740745262"/>
      </left>
      <right style="dotted">
        <color theme="4" tint="-0.499984740745262"/>
      </right>
      <top/>
      <bottom style="thin">
        <color indexed="64"/>
      </bottom>
      <diagonal/>
    </border>
    <border>
      <left style="dotted">
        <color theme="4" tint="-0.499984740745262"/>
      </left>
      <right style="thin">
        <color theme="4" tint="-0.499984740745262"/>
      </right>
      <top/>
      <bottom style="thin">
        <color indexed="64"/>
      </bottom>
      <diagonal/>
    </border>
    <border>
      <left style="thin">
        <color indexed="64"/>
      </left>
      <right/>
      <top/>
      <bottom style="thin">
        <color indexed="64"/>
      </bottom>
      <diagonal/>
    </border>
  </borders>
  <cellStyleXfs count="8">
    <xf numFmtId="0" fontId="0" fillId="0" borderId="0">
      <alignment horizontal="left" vertical="center" wrapText="1"/>
    </xf>
    <xf numFmtId="167" fontId="7" fillId="0" borderId="0" applyFont="0" applyFill="0" applyBorder="0" applyAlignment="0" applyProtection="0"/>
    <xf numFmtId="165" fontId="7" fillId="0" borderId="0" applyFont="0" applyFill="0" applyBorder="0" applyProtection="0">
      <alignment horizontal="right" vertical="center"/>
    </xf>
    <xf numFmtId="9" fontId="7" fillId="0" borderId="0" applyFont="0" applyFill="0" applyBorder="0" applyAlignment="0" applyProtection="0"/>
    <xf numFmtId="0" fontId="10" fillId="0" borderId="0" applyNumberFormat="0" applyFill="0" applyBorder="0" applyProtection="0">
      <alignment horizontal="center" vertical="center"/>
    </xf>
    <xf numFmtId="0" fontId="8" fillId="0" borderId="0" applyNumberFormat="0" applyFill="0" applyProtection="0">
      <alignment horizontal="center" vertical="top" wrapText="1"/>
    </xf>
    <xf numFmtId="0" fontId="13" fillId="0" borderId="0" applyNumberFormat="0" applyFill="0" applyProtection="0">
      <alignment horizontal="right" vertical="center"/>
    </xf>
    <xf numFmtId="164" fontId="8" fillId="2" borderId="0" applyFont="0" applyFill="0" applyBorder="0" applyAlignment="0">
      <alignment vertical="center" wrapText="1"/>
    </xf>
  </cellStyleXfs>
  <cellXfs count="142">
    <xf numFmtId="0" fontId="0" fillId="0" borderId="0" xfId="0">
      <alignment horizontal="left" vertical="center" wrapText="1"/>
    </xf>
    <xf numFmtId="0" fontId="8" fillId="0" borderId="0" xfId="5" applyAlignment="1">
      <alignment vertical="center"/>
    </xf>
    <xf numFmtId="0" fontId="9" fillId="0" borderId="0" xfId="5" applyFont="1" applyAlignment="1"/>
    <xf numFmtId="0" fontId="0" fillId="0" borderId="0" xfId="0" applyAlignment="1">
      <alignment horizontal="center" vertical="center" wrapText="1"/>
    </xf>
    <xf numFmtId="164" fontId="8" fillId="0" borderId="0" xfId="7" applyFill="1" applyAlignment="1">
      <alignment vertical="center" wrapText="1"/>
    </xf>
    <xf numFmtId="164" fontId="8" fillId="0" borderId="0" xfId="7" applyFont="1" applyFill="1" applyAlignment="1">
      <alignment horizontal="left" vertical="center" wrapText="1"/>
    </xf>
    <xf numFmtId="0" fontId="8" fillId="0" borderId="0" xfId="5" applyAlignment="1">
      <alignment vertical="center" wrapText="1"/>
    </xf>
    <xf numFmtId="0" fontId="11" fillId="0" borderId="0" xfId="4" applyFont="1" applyAlignment="1">
      <alignment vertical="center"/>
    </xf>
    <xf numFmtId="9" fontId="11" fillId="0" borderId="0" xfId="4" applyNumberFormat="1" applyFont="1">
      <alignment horizontal="center" vertical="center"/>
    </xf>
    <xf numFmtId="0" fontId="11" fillId="0" borderId="0" xfId="4" applyFont="1">
      <alignment horizontal="center" vertical="center"/>
    </xf>
    <xf numFmtId="14" fontId="14" fillId="0" borderId="0" xfId="6" applyNumberFormat="1" applyFont="1" applyAlignment="1">
      <alignment vertical="center"/>
    </xf>
    <xf numFmtId="14" fontId="14" fillId="0" borderId="0" xfId="6" applyNumberFormat="1" applyFont="1" applyAlignment="1">
      <alignment horizontal="center" vertical="center"/>
    </xf>
    <xf numFmtId="0" fontId="15" fillId="0" borderId="0" xfId="6" applyFont="1">
      <alignment horizontal="right" vertical="center"/>
    </xf>
    <xf numFmtId="14" fontId="15" fillId="0" borderId="0" xfId="6" applyNumberFormat="1" applyFont="1" applyAlignment="1">
      <alignment horizontal="center" vertical="center"/>
    </xf>
    <xf numFmtId="49" fontId="16" fillId="0" borderId="0" xfId="0" applyNumberFormat="1" applyFont="1" applyAlignment="1">
      <alignment horizontal="left" vertical="center" wrapText="1" indent="1"/>
    </xf>
    <xf numFmtId="0" fontId="17" fillId="0" borderId="0" xfId="0" applyFont="1" applyAlignment="1">
      <alignment horizontal="left" vertical="center" wrapText="1" indent="1"/>
    </xf>
    <xf numFmtId="0" fontId="5" fillId="0" borderId="0" xfId="0" applyFont="1" applyAlignment="1">
      <alignment horizontal="left" vertical="center" wrapText="1" indent="1"/>
    </xf>
    <xf numFmtId="0" fontId="18" fillId="0" borderId="0" xfId="0" applyFont="1" applyAlignment="1">
      <alignment horizontal="left" vertical="center" wrapText="1" indent="1"/>
    </xf>
    <xf numFmtId="0" fontId="16" fillId="0" borderId="0" xfId="0" applyFont="1" applyAlignment="1">
      <alignment horizontal="center" vertical="center" wrapText="1"/>
    </xf>
    <xf numFmtId="165" fontId="17" fillId="0" borderId="0" xfId="2" applyFont="1" applyAlignment="1">
      <alignment horizontal="center" vertical="center"/>
    </xf>
    <xf numFmtId="0" fontId="20" fillId="3" borderId="0" xfId="0" applyFont="1" applyFill="1" applyAlignment="1">
      <alignment horizontal="left" vertical="center" wrapText="1" indent="1"/>
    </xf>
    <xf numFmtId="0" fontId="21" fillId="3" borderId="0" xfId="0" applyFont="1" applyFill="1" applyAlignment="1">
      <alignment horizontal="center" vertical="center" wrapText="1"/>
    </xf>
    <xf numFmtId="0" fontId="20" fillId="3" borderId="0" xfId="0" applyFont="1" applyFill="1" applyAlignment="1">
      <alignment horizontal="center" vertical="center" wrapText="1"/>
    </xf>
    <xf numFmtId="0" fontId="18" fillId="0" borderId="0" xfId="0" applyFont="1" applyAlignment="1">
      <alignment horizontal="center" vertical="center" wrapText="1"/>
    </xf>
    <xf numFmtId="165" fontId="23" fillId="0" borderId="1" xfId="2" applyFont="1" applyBorder="1" applyAlignment="1">
      <alignment horizontal="center" vertical="center"/>
    </xf>
    <xf numFmtId="165" fontId="24" fillId="0" borderId="0" xfId="2" applyFont="1" applyAlignment="1">
      <alignment horizontal="center" vertical="center"/>
    </xf>
    <xf numFmtId="9" fontId="24" fillId="0" borderId="0" xfId="3" applyFont="1" applyAlignment="1">
      <alignment horizontal="center" vertical="center"/>
    </xf>
    <xf numFmtId="2" fontId="24" fillId="0" borderId="0" xfId="2" applyNumberFormat="1" applyFont="1" applyAlignment="1">
      <alignment horizontal="center" vertical="center"/>
    </xf>
    <xf numFmtId="166" fontId="24" fillId="0" borderId="0" xfId="2" applyNumberFormat="1" applyFont="1" applyAlignment="1">
      <alignment horizontal="center" vertical="center"/>
    </xf>
    <xf numFmtId="165" fontId="25" fillId="0" borderId="1" xfId="2" applyFont="1" applyBorder="1" applyAlignment="1">
      <alignment horizontal="center" vertical="center"/>
    </xf>
    <xf numFmtId="49" fontId="24" fillId="0" borderId="0" xfId="0" applyNumberFormat="1" applyFont="1" applyAlignment="1">
      <alignment horizontal="left" vertical="center" wrapText="1" indent="1"/>
    </xf>
    <xf numFmtId="0" fontId="26" fillId="0" borderId="0" xfId="0" applyFont="1" applyAlignment="1">
      <alignment horizontal="left" vertical="center" wrapText="1" indent="1"/>
    </xf>
    <xf numFmtId="0" fontId="16" fillId="0" borderId="0" xfId="0" applyFont="1" applyAlignment="1">
      <alignment horizontal="left" vertical="center" wrapText="1" indent="1"/>
    </xf>
    <xf numFmtId="0" fontId="28" fillId="0" borderId="0" xfId="0" applyFont="1" applyAlignment="1">
      <alignment horizontal="center" vertical="center" wrapText="1"/>
    </xf>
    <xf numFmtId="165" fontId="25" fillId="0" borderId="0" xfId="2" applyFont="1" applyFill="1" applyAlignment="1">
      <alignment horizontal="center" vertical="center"/>
    </xf>
    <xf numFmtId="165" fontId="17" fillId="0" borderId="0" xfId="2" applyFont="1" applyAlignment="1">
      <alignment horizontal="left" vertical="center" indent="1"/>
    </xf>
    <xf numFmtId="0" fontId="24" fillId="0" borderId="0" xfId="2" applyNumberFormat="1" applyFont="1" applyAlignment="1">
      <alignment horizontal="center" vertical="center"/>
    </xf>
    <xf numFmtId="165" fontId="0" fillId="0" borderId="0" xfId="2" applyFont="1" applyAlignment="1">
      <alignment horizontal="center" vertical="center"/>
    </xf>
    <xf numFmtId="165" fontId="23" fillId="0" borderId="0" xfId="2" applyFont="1" applyAlignment="1">
      <alignment horizontal="center" vertical="center"/>
    </xf>
    <xf numFmtId="0" fontId="31" fillId="0" borderId="0" xfId="0" applyFont="1" applyAlignment="1">
      <alignment horizontal="left" vertical="center" wrapText="1" indent="1"/>
    </xf>
    <xf numFmtId="0" fontId="5" fillId="0" borderId="0" xfId="0" applyFont="1" applyAlignment="1">
      <alignment horizontal="center" vertical="center" wrapText="1"/>
    </xf>
    <xf numFmtId="49" fontId="24" fillId="0" borderId="2" xfId="0" applyNumberFormat="1" applyFont="1" applyBorder="1" applyAlignment="1">
      <alignment horizontal="left" vertical="center" wrapText="1" indent="1"/>
    </xf>
    <xf numFmtId="0" fontId="17" fillId="0" borderId="2" xfId="0" applyFont="1" applyBorder="1" applyAlignment="1">
      <alignment horizontal="left" vertical="center" wrapText="1" indent="1"/>
    </xf>
    <xf numFmtId="0" fontId="31"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16" fillId="0" borderId="2" xfId="0" applyFont="1" applyBorder="1" applyAlignment="1">
      <alignment horizontal="left" vertical="center" wrapText="1" indent="1"/>
    </xf>
    <xf numFmtId="0" fontId="28" fillId="0" borderId="2" xfId="0" applyFont="1" applyBorder="1" applyAlignment="1">
      <alignment horizontal="center" vertical="center" wrapText="1"/>
    </xf>
    <xf numFmtId="2" fontId="24" fillId="0" borderId="0" xfId="1" applyNumberFormat="1" applyFont="1" applyAlignment="1">
      <alignment horizontal="center" vertical="center"/>
    </xf>
    <xf numFmtId="0" fontId="23" fillId="3" borderId="0" xfId="0" applyFont="1" applyFill="1" applyAlignment="1">
      <alignment horizontal="left" vertical="center" wrapText="1" indent="1"/>
    </xf>
    <xf numFmtId="0" fontId="33" fillId="3"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1" xfId="0" applyFont="1" applyFill="1" applyBorder="1" applyAlignment="1">
      <alignment horizontal="center" vertical="center" wrapText="1"/>
    </xf>
    <xf numFmtId="49" fontId="28" fillId="0" borderId="0" xfId="0" applyNumberFormat="1" applyFont="1" applyAlignment="1">
      <alignment horizontal="left" vertical="center" wrapText="1" indent="1"/>
    </xf>
    <xf numFmtId="0" fontId="23" fillId="0" borderId="0" xfId="0" applyFont="1" applyAlignment="1">
      <alignment horizontal="left" vertical="center" wrapText="1" indent="1"/>
    </xf>
    <xf numFmtId="0" fontId="12" fillId="0" borderId="0" xfId="0" applyFont="1" applyAlignment="1">
      <alignment horizontal="left" vertical="center" wrapText="1" indent="1"/>
    </xf>
    <xf numFmtId="0" fontId="28" fillId="0" borderId="0" xfId="0" applyFont="1" applyAlignment="1">
      <alignment horizontal="left" vertical="center" wrapText="1" indent="1"/>
    </xf>
    <xf numFmtId="165" fontId="23" fillId="0" borderId="0" xfId="2" applyFont="1" applyAlignment="1">
      <alignment horizontal="left" vertical="center" indent="1"/>
    </xf>
    <xf numFmtId="165" fontId="28" fillId="0" borderId="0" xfId="2" applyFont="1" applyAlignment="1">
      <alignment horizontal="center" vertical="center"/>
    </xf>
    <xf numFmtId="9" fontId="28" fillId="0" borderId="0" xfId="3" applyFont="1" applyAlignment="1">
      <alignment horizontal="center" vertical="center"/>
    </xf>
    <xf numFmtId="2" fontId="28" fillId="0" borderId="0" xfId="2" applyNumberFormat="1" applyFont="1" applyAlignment="1">
      <alignment horizontal="center" vertical="center"/>
    </xf>
    <xf numFmtId="49" fontId="28" fillId="0" borderId="2" xfId="0" applyNumberFormat="1" applyFont="1" applyBorder="1" applyAlignment="1">
      <alignment horizontal="left" vertical="center" wrapText="1" indent="1"/>
    </xf>
    <xf numFmtId="0" fontId="23" fillId="0" borderId="2" xfId="0" applyFont="1" applyBorder="1" applyAlignment="1">
      <alignment horizontal="left" vertical="center" wrapText="1" indent="1"/>
    </xf>
    <xf numFmtId="0" fontId="12" fillId="0" borderId="2" xfId="0" applyFont="1" applyBorder="1" applyAlignment="1">
      <alignment horizontal="left" vertical="center" wrapText="1" indent="1"/>
    </xf>
    <xf numFmtId="0" fontId="28" fillId="0" borderId="2" xfId="0" applyFont="1" applyBorder="1" applyAlignment="1">
      <alignment horizontal="left" vertical="center" wrapText="1" indent="1"/>
    </xf>
    <xf numFmtId="0" fontId="12" fillId="0" borderId="2" xfId="0" applyFont="1" applyBorder="1" applyAlignment="1">
      <alignment horizontal="center" vertical="center" wrapText="1"/>
    </xf>
    <xf numFmtId="165" fontId="23" fillId="0" borderId="3" xfId="2" applyFont="1" applyBorder="1" applyAlignment="1">
      <alignment horizontal="center" vertical="center"/>
    </xf>
    <xf numFmtId="164" fontId="8" fillId="0" borderId="0" xfId="7" applyFont="1" applyFill="1" applyAlignment="1">
      <alignment horizontal="center" vertical="center" wrapText="1"/>
    </xf>
    <xf numFmtId="0" fontId="20" fillId="4" borderId="0" xfId="0" applyFont="1" applyFill="1" applyAlignment="1">
      <alignment horizontal="left" vertical="center" wrapText="1" indent="1"/>
    </xf>
    <xf numFmtId="0" fontId="21" fillId="4" borderId="0" xfId="0" applyFont="1" applyFill="1" applyAlignment="1">
      <alignment horizontal="center" vertical="center" wrapText="1"/>
    </xf>
    <xf numFmtId="0" fontId="20" fillId="4" borderId="0" xfId="0" applyFont="1" applyFill="1" applyAlignment="1">
      <alignment horizontal="center" vertical="center" wrapText="1"/>
    </xf>
    <xf numFmtId="0" fontId="23" fillId="4" borderId="0" xfId="0" applyFont="1" applyFill="1" applyAlignment="1">
      <alignment horizontal="left" vertical="center" wrapText="1" indent="1"/>
    </xf>
    <xf numFmtId="49" fontId="16" fillId="0" borderId="2" xfId="0" applyNumberFormat="1" applyFont="1" applyBorder="1" applyAlignment="1">
      <alignment horizontal="left" vertical="center" wrapText="1" indent="1"/>
    </xf>
    <xf numFmtId="0" fontId="18" fillId="0" borderId="2" xfId="0" applyFont="1" applyBorder="1" applyAlignment="1">
      <alignment horizontal="left" vertical="center" wrapText="1" indent="1"/>
    </xf>
    <xf numFmtId="0" fontId="5" fillId="0" borderId="2" xfId="0" applyFont="1" applyBorder="1" applyAlignment="1">
      <alignment horizontal="left" vertical="center" wrapText="1" indent="1"/>
    </xf>
    <xf numFmtId="0" fontId="16" fillId="0" borderId="2" xfId="0" applyFont="1" applyBorder="1" applyAlignment="1">
      <alignment horizontal="center" vertical="center" wrapText="1"/>
    </xf>
    <xf numFmtId="0" fontId="20" fillId="5" borderId="0" xfId="0" applyFont="1" applyFill="1" applyAlignment="1">
      <alignment horizontal="left" vertical="center" wrapText="1" inden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0" fontId="23" fillId="5" borderId="0" xfId="0" applyFont="1" applyFill="1" applyAlignment="1">
      <alignment horizontal="left" vertical="center" wrapText="1" indent="1"/>
    </xf>
    <xf numFmtId="165" fontId="23" fillId="0" borderId="0" xfId="2" applyFont="1" applyFill="1" applyAlignment="1">
      <alignment horizontal="center" vertical="center"/>
    </xf>
    <xf numFmtId="165" fontId="17" fillId="0" borderId="0" xfId="2" applyFont="1" applyFill="1" applyAlignment="1">
      <alignment horizontal="left" vertical="center" indent="1"/>
    </xf>
    <xf numFmtId="0" fontId="18" fillId="0" borderId="2" xfId="0" applyFont="1" applyBorder="1" applyAlignment="1">
      <alignment horizontal="center" vertical="center" wrapText="1"/>
    </xf>
    <xf numFmtId="165" fontId="25" fillId="0" borderId="0" xfId="2" applyFont="1" applyAlignment="1">
      <alignment horizontal="center" vertical="center"/>
    </xf>
    <xf numFmtId="0" fontId="6" fillId="0" borderId="0" xfId="0" applyFont="1">
      <alignment horizontal="left" vertical="center" wrapText="1"/>
    </xf>
    <xf numFmtId="49" fontId="28" fillId="0" borderId="4" xfId="0" applyNumberFormat="1" applyFont="1" applyBorder="1" applyAlignment="1">
      <alignment horizontal="left" vertical="center" wrapText="1" indent="1"/>
    </xf>
    <xf numFmtId="0" fontId="20" fillId="6" borderId="0" xfId="0" applyFont="1" applyFill="1" applyAlignment="1">
      <alignment horizontal="left" vertical="center" wrapText="1" indent="1"/>
    </xf>
    <xf numFmtId="0" fontId="21" fillId="6" borderId="0" xfId="0" applyFont="1" applyFill="1" applyAlignment="1">
      <alignment horizontal="center" vertical="center" wrapText="1"/>
    </xf>
    <xf numFmtId="0" fontId="20" fillId="6" borderId="0" xfId="0" applyFont="1" applyFill="1" applyAlignment="1">
      <alignment horizontal="center" vertical="center" wrapText="1"/>
    </xf>
    <xf numFmtId="0" fontId="23" fillId="6" borderId="0" xfId="0" applyFont="1" applyFill="1" applyAlignment="1">
      <alignment horizontal="left" vertical="center" wrapText="1" indent="1"/>
    </xf>
    <xf numFmtId="165" fontId="33" fillId="0" borderId="1" xfId="2" applyFont="1" applyBorder="1" applyAlignment="1">
      <alignment horizontal="center" vertical="center"/>
    </xf>
    <xf numFmtId="0" fontId="38" fillId="0" borderId="0" xfId="0" applyFont="1" applyAlignment="1">
      <alignment horizontal="center" vertical="top" wrapText="1"/>
    </xf>
    <xf numFmtId="0" fontId="39" fillId="0" borderId="0" xfId="0" applyFont="1">
      <alignment horizontal="left" vertical="center" wrapText="1"/>
    </xf>
    <xf numFmtId="0" fontId="41" fillId="0" borderId="0" xfId="0" applyFont="1" applyAlignment="1">
      <alignment horizontal="left" vertical="top" wrapText="1"/>
    </xf>
    <xf numFmtId="0" fontId="42" fillId="0" borderId="0" xfId="0" applyFont="1">
      <alignment horizontal="left" vertical="center" wrapText="1"/>
    </xf>
    <xf numFmtId="165" fontId="23" fillId="0" borderId="0" xfId="2" applyFont="1" applyBorder="1" applyAlignment="1">
      <alignment horizontal="center" vertical="center"/>
    </xf>
    <xf numFmtId="0" fontId="43" fillId="8" borderId="0" xfId="0" applyFont="1" applyFill="1" applyAlignment="1">
      <alignment horizontal="left" vertical="center" wrapText="1" indent="1"/>
    </xf>
    <xf numFmtId="0" fontId="44" fillId="8" borderId="0" xfId="0" applyFont="1" applyFill="1" applyAlignment="1">
      <alignment horizontal="center" vertical="center" wrapText="1"/>
    </xf>
    <xf numFmtId="0" fontId="43" fillId="8" borderId="0" xfId="0" applyFont="1" applyFill="1" applyAlignment="1">
      <alignment horizontal="center" vertical="center" wrapText="1"/>
    </xf>
    <xf numFmtId="49" fontId="16" fillId="0" borderId="6" xfId="0" applyNumberFormat="1" applyFont="1" applyBorder="1" applyAlignment="1">
      <alignment horizontal="left" vertical="center" wrapText="1" indent="1"/>
    </xf>
    <xf numFmtId="0" fontId="17" fillId="0" borderId="5" xfId="0" applyFont="1" applyBorder="1" applyAlignment="1">
      <alignment horizontal="left" vertical="center" wrapText="1" indent="1"/>
    </xf>
    <xf numFmtId="0" fontId="4" fillId="0" borderId="5" xfId="0" applyFont="1" applyBorder="1" applyAlignment="1">
      <alignment horizontal="left" vertical="center" wrapText="1" indent="1"/>
    </xf>
    <xf numFmtId="165" fontId="45" fillId="0" borderId="8" xfId="2" applyFont="1" applyBorder="1" applyAlignment="1">
      <alignment horizontal="center" vertical="center"/>
    </xf>
    <xf numFmtId="49" fontId="16" fillId="7" borderId="6" xfId="0" applyNumberFormat="1" applyFont="1" applyFill="1" applyBorder="1" applyAlignment="1">
      <alignment horizontal="left" vertical="center" wrapText="1" indent="1"/>
    </xf>
    <xf numFmtId="0" fontId="17" fillId="7" borderId="5"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0" fontId="16" fillId="7" borderId="5" xfId="0" applyFont="1" applyFill="1" applyBorder="1" applyAlignment="1">
      <alignment horizontal="left" vertical="center" wrapText="1" indent="1"/>
    </xf>
    <xf numFmtId="165" fontId="45" fillId="7" borderId="7" xfId="2" applyFont="1" applyFill="1" applyBorder="1" applyAlignment="1">
      <alignment horizontal="center" vertical="center"/>
    </xf>
    <xf numFmtId="0" fontId="4" fillId="0" borderId="5" xfId="0" applyFont="1" applyBorder="1" applyAlignment="1">
      <alignment horizontal="center" vertical="center" wrapText="1"/>
    </xf>
    <xf numFmtId="0" fontId="4" fillId="7" borderId="5" xfId="0" applyFont="1" applyFill="1" applyBorder="1" applyAlignment="1">
      <alignment horizontal="center" vertical="center" wrapText="1"/>
    </xf>
    <xf numFmtId="0" fontId="12" fillId="0" borderId="0" xfId="0" applyFont="1">
      <alignment horizontal="left" vertical="center" wrapText="1"/>
    </xf>
    <xf numFmtId="49" fontId="24" fillId="0" borderId="6" xfId="0" applyNumberFormat="1" applyFont="1" applyBorder="1" applyAlignment="1">
      <alignment horizontal="left" vertical="center" wrapText="1" indent="1"/>
    </xf>
    <xf numFmtId="0" fontId="16" fillId="0" borderId="5" xfId="0" applyFont="1" applyBorder="1" applyAlignment="1">
      <alignment horizontal="left" vertical="center" wrapText="1" indent="1"/>
    </xf>
    <xf numFmtId="49" fontId="16" fillId="9" borderId="6" xfId="0" applyNumberFormat="1" applyFont="1" applyFill="1" applyBorder="1" applyAlignment="1">
      <alignment horizontal="left" vertical="center" wrapText="1" indent="1"/>
    </xf>
    <xf numFmtId="0" fontId="17" fillId="9" borderId="5" xfId="0" applyFont="1" applyFill="1" applyBorder="1" applyAlignment="1">
      <alignment horizontal="left" vertical="center" wrapText="1" indent="1"/>
    </xf>
    <xf numFmtId="0" fontId="4" fillId="9" borderId="5" xfId="0" applyFont="1" applyFill="1" applyBorder="1" applyAlignment="1">
      <alignment horizontal="left" vertical="center" wrapText="1" indent="1"/>
    </xf>
    <xf numFmtId="0" fontId="16" fillId="9" borderId="5" xfId="0" applyFont="1" applyFill="1" applyBorder="1" applyAlignment="1">
      <alignment horizontal="left" vertical="center" wrapText="1" indent="1"/>
    </xf>
    <xf numFmtId="165" fontId="45" fillId="9" borderId="7" xfId="2" applyFont="1" applyFill="1" applyBorder="1" applyAlignment="1">
      <alignment horizontal="center" vertical="center"/>
    </xf>
    <xf numFmtId="49" fontId="16" fillId="7" borderId="9" xfId="0" applyNumberFormat="1"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4" fillId="7" borderId="10" xfId="0" applyFont="1" applyFill="1" applyBorder="1" applyAlignment="1">
      <alignment horizontal="left" vertical="center" wrapText="1" indent="1"/>
    </xf>
    <xf numFmtId="0" fontId="16" fillId="7" borderId="10" xfId="0" applyFont="1" applyFill="1" applyBorder="1" applyAlignment="1">
      <alignment horizontal="left" vertical="center" wrapText="1" indent="1"/>
    </xf>
    <xf numFmtId="165" fontId="45" fillId="7" borderId="11" xfId="2" applyFont="1" applyFill="1" applyBorder="1" applyAlignment="1">
      <alignment horizontal="center" vertical="center"/>
    </xf>
    <xf numFmtId="0" fontId="3" fillId="7"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7" borderId="10" xfId="0" applyFont="1" applyFill="1" applyBorder="1" applyAlignment="1">
      <alignment horizontal="left" vertical="center" wrapText="1" indent="1"/>
    </xf>
    <xf numFmtId="0" fontId="3" fillId="7"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3" fillId="0" borderId="0" xfId="0" applyFont="1" applyAlignment="1">
      <alignment horizontal="left" vertical="center" wrapText="1" indent="1"/>
    </xf>
    <xf numFmtId="0" fontId="3" fillId="0" borderId="2" xfId="0" applyFont="1" applyBorder="1" applyAlignment="1">
      <alignment horizontal="left" vertical="center" wrapText="1" indent="1"/>
    </xf>
    <xf numFmtId="49" fontId="16" fillId="0" borderId="4" xfId="0" applyNumberFormat="1" applyFont="1" applyBorder="1" applyAlignment="1">
      <alignment horizontal="left" vertical="center" wrapText="1" indent="1"/>
    </xf>
    <xf numFmtId="49" fontId="16" fillId="0" borderId="12" xfId="0" applyNumberFormat="1"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5" xfId="0" applyFont="1" applyBorder="1" applyAlignment="1">
      <alignment horizontal="center" vertical="center" wrapText="1"/>
    </xf>
    <xf numFmtId="0" fontId="2" fillId="7" borderId="5" xfId="0" applyFont="1" applyFill="1" applyBorder="1" applyAlignment="1">
      <alignment horizontal="center" vertical="center" wrapText="1"/>
    </xf>
    <xf numFmtId="164" fontId="8" fillId="0" borderId="0" xfId="7" applyFont="1" applyFill="1" applyAlignment="1">
      <alignment horizontal="left" vertical="center" wrapText="1"/>
    </xf>
    <xf numFmtId="0" fontId="9" fillId="0" borderId="0" xfId="5" applyFont="1" applyAlignment="1">
      <alignment horizontal="left"/>
    </xf>
    <xf numFmtId="0" fontId="14" fillId="0" borderId="0" xfId="6" applyFont="1">
      <alignment horizontal="right" vertical="center"/>
    </xf>
    <xf numFmtId="0" fontId="14" fillId="0" borderId="0" xfId="6" applyFont="1" applyAlignment="1">
      <alignment horizontal="left" vertical="center"/>
    </xf>
    <xf numFmtId="0" fontId="28" fillId="0" borderId="0" xfId="0" applyFont="1" applyAlignment="1">
      <alignment horizontal="left" vertical="top" wrapText="1"/>
    </xf>
    <xf numFmtId="0" fontId="38" fillId="0" borderId="0" xfId="0" applyFont="1" applyAlignment="1">
      <alignment horizontal="center" vertical="top" wrapText="1"/>
    </xf>
    <xf numFmtId="0" fontId="40" fillId="0" borderId="0" xfId="0" applyFont="1" applyAlignment="1">
      <alignment horizontal="center" vertical="center" wrapText="1"/>
    </xf>
  </cellXfs>
  <cellStyles count="8">
    <cellStyle name="Encabezado 1" xfId="5" builtinId="16"/>
    <cellStyle name="Millares" xfId="1" builtinId="3"/>
    <cellStyle name="Moneda" xfId="2" builtinId="4"/>
    <cellStyle name="Normal" xfId="0" builtinId="0"/>
    <cellStyle name="Porcentaje" xfId="3" builtinId="5"/>
    <cellStyle name="Teléfono" xfId="7" xr:uid="{C06BA5E8-35E1-437A-B2DD-D7A81FB7B160}"/>
    <cellStyle name="Título" xfId="4" builtinId="15"/>
    <cellStyle name="Título 2" xfId="6" builtinId="17"/>
  </cellStyles>
  <dxfs count="493">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auto="1"/>
        <name val="Aptos Narrow"/>
        <family val="2"/>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0"/>
        <color auto="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0667A4"/>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6" formatCode="#,##0.00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auto="1"/>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0"/>
        <color auto="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0667A4"/>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6" formatCode="#,##0.00000\ &quot;€&quo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Aptos Narrow"/>
        <family val="2"/>
        <scheme val="minor"/>
      </font>
      <numFmt numFmtId="165" formatCode="#,##0.00\ &quot;€&quot;"/>
      <alignment horizontal="center" vertical="center" textRotation="0" wrapText="0" indent="0" justifyLastLine="0" shrinkToFit="0" readingOrder="0"/>
    </dxf>
    <dxf>
      <font>
        <b/>
        <strike val="0"/>
        <outline val="0"/>
        <shadow val="0"/>
        <u val="none"/>
        <vertAlign val="baseline"/>
        <sz val="12"/>
        <color rgb="FFFF0000"/>
        <name val="Aptos Narrow"/>
        <family val="2"/>
        <scheme val="minor"/>
      </font>
      <numFmt numFmtId="165" formatCode="#,##0.00\ &quot;€&quot;"/>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Aptos Narrow"/>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alignment horizontal="left" vertical="center" textRotation="0"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0667A4"/>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strike val="0"/>
        <outline val="0"/>
        <shadow val="0"/>
        <u val="none"/>
        <vertAlign val="baseline"/>
        <sz val="12"/>
        <color auto="1"/>
        <name val="Aptos Narrow"/>
        <scheme val="minor"/>
      </font>
      <fill>
        <patternFill patternType="solid">
          <fgColor indexed="64"/>
          <bgColor rgb="FF706F6F"/>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rgb="FFFF0000"/>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strike val="0"/>
        <outline val="0"/>
        <shadow val="0"/>
        <u val="none"/>
        <vertAlign val="baseline"/>
        <sz val="12"/>
        <color auto="1"/>
        <name val="Aptos Narrow"/>
        <scheme val="minor"/>
      </font>
      <fill>
        <patternFill patternType="solid">
          <fgColor indexed="64"/>
          <bgColor rgb="FFF09703"/>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7CAF2A"/>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7CAF2A"/>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none">
          <fgColor indexed="64"/>
          <bgColor auto="1"/>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7CAF2A"/>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fill>
        <patternFill patternType="solid">
          <fgColor indexed="64"/>
          <bgColor rgb="FFFFFF00"/>
        </patternFill>
      </fill>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7CAF2A"/>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1"/>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alignment horizontal="left" vertical="center" textRotation="0"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7CAF2A"/>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strike val="0"/>
        <outline val="0"/>
        <shadow val="0"/>
        <u val="none"/>
        <vertAlign val="baseline"/>
        <sz val="12"/>
        <color auto="1"/>
        <name val="Aptos Narrow"/>
        <scheme val="minor"/>
      </font>
      <fill>
        <patternFill patternType="solid">
          <fgColor indexed="64"/>
          <bgColor rgb="FF7CAF2A"/>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scheme val="minor"/>
      </font>
      <numFmt numFmtId="165" formatCode="#,##0.00\ &quot;€&quot;"/>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auto="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auto="1"/>
        <name val="Aptos Narrow"/>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Aptos Narrow"/>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auto="1"/>
        <name val="Aptos Narrow"/>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auto="1"/>
        <name val="Aptos Narrow"/>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auto="1"/>
        <name val="Aptos Narrow"/>
        <scheme val="minor"/>
      </font>
      <numFmt numFmtId="30" formatCode="@"/>
      <alignment horizontal="left" vertical="center" textRotation="0" indent="1" justifyLastLine="0" shrinkToFit="0" readingOrder="0"/>
    </dxf>
    <dxf>
      <font>
        <strike val="0"/>
        <outline val="0"/>
        <shadow val="0"/>
        <u val="none"/>
        <color auto="1"/>
        <name val="Aptos Narrow"/>
        <scheme val="minor"/>
      </font>
    </dxf>
    <dxf>
      <font>
        <strike val="0"/>
        <outline val="0"/>
        <shadow val="0"/>
        <u val="none"/>
        <vertAlign val="baseline"/>
        <sz val="12"/>
        <color auto="1"/>
        <name val="Aptos Narrow"/>
        <scheme val="minor"/>
      </font>
      <alignment horizontal="left" vertical="center" textRotation="0" indent="1" justifyLastLine="0" shrinkToFit="0" readingOrder="0"/>
    </dxf>
    <dxf>
      <font>
        <b/>
        <i val="0"/>
        <strike val="0"/>
        <condense val="0"/>
        <extend val="0"/>
        <outline val="0"/>
        <shadow val="0"/>
        <u val="none"/>
        <vertAlign val="baseline"/>
        <sz val="12"/>
        <color auto="1"/>
        <name val="Aptos Narrow"/>
        <scheme val="minor"/>
      </font>
      <fill>
        <patternFill patternType="solid">
          <fgColor indexed="64"/>
          <bgColor rgb="FF0667A4"/>
        </patternFill>
      </fill>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center" vertical="center" textRotation="0" wrapText="0" indent="0"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0" formatCode="General"/>
      <alignment horizontal="left" vertical="center" textRotation="0"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auto="1"/>
        <name val="Aptos Narrow"/>
        <family val="2"/>
        <scheme val="minor"/>
      </font>
      <numFmt numFmtId="165" formatCode="#,##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1"/>
        <color theme="1"/>
        <name val="Aptos Narrow"/>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0667A4"/>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6" formatCode="#,##0.00000\ &quot;€&quo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165" formatCode="#,##0.00\ &quot;€&quo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numFmt numFmtId="0" formatCode="General"/>
      <alignment horizontal="left" vertical="center" textRotation="0" wrapText="0" indent="1" justifyLastLine="0" shrinkToFit="0" readingOrder="0"/>
    </dxf>
    <dxf>
      <font>
        <b/>
        <strike val="0"/>
        <outline val="0"/>
        <shadow val="0"/>
        <u val="none"/>
        <vertAlign val="baseline"/>
        <sz val="12"/>
        <color rgb="FFFF0000"/>
        <name val="Aptos Narrow"/>
        <scheme val="minor"/>
      </font>
      <numFmt numFmtId="165" formatCode="#,##0.00\ &quot;€&quo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rgb="FFFF0000"/>
        <name val="Aptos Narrow"/>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1"/>
        <scheme val="minor"/>
      </font>
      <alignment horizontal="left" vertical="center" textRotation="0" wrapText="1"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0"/>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b/>
        <strike val="0"/>
        <outline val="0"/>
        <shadow val="0"/>
        <u val="none"/>
        <vertAlign val="baseline"/>
        <sz val="12"/>
        <color theme="1"/>
        <name val="Aptos Narrow"/>
        <family val="2"/>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1" justifyLastLine="0" shrinkToFit="0" readingOrder="0"/>
    </dxf>
    <dxf>
      <font>
        <strike val="0"/>
        <outline val="0"/>
        <shadow val="0"/>
        <u val="none"/>
        <vertAlign val="baseline"/>
        <sz val="12"/>
        <color theme="1"/>
        <name val="Aptos Narrow"/>
        <scheme val="minor"/>
      </font>
      <numFmt numFmtId="30" formatCode="@"/>
      <alignment horizontal="left" vertical="center" textRotation="0" indent="1" justifyLastLine="0" shrinkToFit="0" readingOrder="0"/>
    </dxf>
    <dxf>
      <font>
        <strike val="0"/>
        <outline val="0"/>
        <shadow val="0"/>
        <u val="none"/>
        <vertAlign val="baseline"/>
        <sz val="12"/>
        <color rgb="FF000000"/>
        <name val="Arial"/>
        <scheme val="none"/>
      </font>
      <alignment horizontal="left" vertical="center" textRotation="0" indent="1" justifyLastLine="0" shrinkToFit="0" readingOrder="0"/>
    </dxf>
    <dxf>
      <font>
        <b/>
        <i val="0"/>
        <strike val="0"/>
        <condense val="0"/>
        <extend val="0"/>
        <outline val="0"/>
        <shadow val="0"/>
        <u val="none"/>
        <vertAlign val="baseline"/>
        <sz val="12"/>
        <color auto="1"/>
        <name val="Aptos Narrow"/>
        <family val="2"/>
        <charset val="238"/>
        <scheme val="minor"/>
      </font>
      <fill>
        <patternFill patternType="solid">
          <fgColor indexed="64"/>
          <bgColor rgb="FF0667A4"/>
        </patternFill>
      </fill>
      <alignment horizontal="left" vertical="center" textRotation="0" wrapText="1" indent="1" justifyLastLine="0" shrinkToFit="0" readingOrder="0"/>
    </dxf>
    <dxf>
      <font>
        <b val="0"/>
        <i val="0"/>
        <color theme="1" tint="0.24994659260841701"/>
      </font>
      <fill>
        <patternFill>
          <bgColor theme="4" tint="0.79998168889431442"/>
        </patternFill>
      </fill>
      <border>
        <left style="thin">
          <color theme="4" tint="-0.499984740745262"/>
        </left>
        <right style="thin">
          <color theme="4" tint="-0.499984740745262"/>
        </right>
        <top/>
      </border>
    </dxf>
    <dxf>
      <font>
        <b val="0"/>
        <i val="0"/>
        <color theme="0"/>
      </font>
      <fill>
        <patternFill patternType="solid">
          <fgColor theme="4"/>
          <bgColor theme="4" tint="-0.499984740745262"/>
        </patternFill>
      </fill>
      <border>
        <left/>
        <right/>
      </border>
    </dxf>
    <dxf>
      <font>
        <b val="0"/>
        <i val="0"/>
        <color theme="1" tint="0.24994659260841701"/>
      </font>
      <border>
        <left style="thin">
          <color theme="4" tint="-0.499984740745262"/>
        </left>
        <right style="thin">
          <color theme="4" tint="-0.499984740745262"/>
        </right>
        <top/>
        <bottom style="thin">
          <color theme="4" tint="-0.499984740745262"/>
        </bottom>
        <vertical style="dotted">
          <color theme="4" tint="-0.499984740745262"/>
        </vertical>
      </border>
    </dxf>
  </dxfs>
  <tableStyles count="1" defaultTableStyle="TableStyleMedium2" defaultPivotStyle="PivotStyleLight16">
    <tableStyle name="Lista de precios de productos" pivot="0" count="3" xr9:uid="{04116E39-8E47-47C1-9636-D15FCFF70E52}">
      <tableStyleElement type="wholeTable" dxfId="492"/>
      <tableStyleElement type="headerRow" dxfId="491"/>
      <tableStyleElement type="secondRowStripe" dxfId="49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2720</xdr:colOff>
      <xdr:row>5</xdr:row>
      <xdr:rowOff>169336</xdr:rowOff>
    </xdr:from>
    <xdr:to>
      <xdr:col>8</xdr:col>
      <xdr:colOff>0</xdr:colOff>
      <xdr:row>7</xdr:row>
      <xdr:rowOff>2117</xdr:rowOff>
    </xdr:to>
    <xdr:grpSp>
      <xdr:nvGrpSpPr>
        <xdr:cNvPr id="2" name="Grupo 1" descr="gráfico de encabezado con código de barras del producto">
          <a:extLst>
            <a:ext uri="{FF2B5EF4-FFF2-40B4-BE49-F238E27FC236}">
              <a16:creationId xmlns:a16="http://schemas.microsoft.com/office/drawing/2014/main" id="{35260006-FDEE-4666-A0A7-CE008CB0389D}"/>
            </a:ext>
          </a:extLst>
        </xdr:cNvPr>
        <xdr:cNvGrpSpPr/>
      </xdr:nvGrpSpPr>
      <xdr:grpSpPr>
        <a:xfrm>
          <a:off x="193220" y="899586"/>
          <a:ext cx="14528197" cy="467781"/>
          <a:chOff x="200025" y="438149"/>
          <a:chExt cx="12795176" cy="600075"/>
        </a:xfrm>
      </xdr:grpSpPr>
      <xdr:sp macro="" textlink="">
        <xdr:nvSpPr>
          <xdr:cNvPr id="3" name="Rectángulo 2">
            <a:extLst>
              <a:ext uri="{FF2B5EF4-FFF2-40B4-BE49-F238E27FC236}">
                <a16:creationId xmlns:a16="http://schemas.microsoft.com/office/drawing/2014/main" id="{A4E6D8CE-4AC3-7450-36A1-7D7CCFFB7D54}"/>
              </a:ext>
            </a:extLst>
          </xdr:cNvPr>
          <xdr:cNvSpPr/>
        </xdr:nvSpPr>
        <xdr:spPr>
          <a:xfrm>
            <a:off x="200025" y="438149"/>
            <a:ext cx="12795176" cy="600075"/>
          </a:xfrm>
          <a:prstGeom prst="rect">
            <a:avLst/>
          </a:prstGeom>
          <a:solidFill>
            <a:srgbClr val="0667A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grpSp>
        <xdr:nvGrpSpPr>
          <xdr:cNvPr id="4" name="Grupo 3">
            <a:extLst>
              <a:ext uri="{FF2B5EF4-FFF2-40B4-BE49-F238E27FC236}">
                <a16:creationId xmlns:a16="http://schemas.microsoft.com/office/drawing/2014/main" id="{7F55493A-24B8-3814-7566-99045A5E828C}"/>
              </a:ext>
            </a:extLst>
          </xdr:cNvPr>
          <xdr:cNvGrpSpPr/>
        </xdr:nvGrpSpPr>
        <xdr:grpSpPr>
          <a:xfrm>
            <a:off x="346676" y="504093"/>
            <a:ext cx="701881" cy="461596"/>
            <a:chOff x="5486400" y="2286000"/>
            <a:chExt cx="2312988" cy="1550988"/>
          </a:xfrm>
        </xdr:grpSpPr>
        <xdr:sp macro="" textlink="">
          <xdr:nvSpPr>
            <xdr:cNvPr id="6" name="Forma libre 28">
              <a:extLst>
                <a:ext uri="{FF2B5EF4-FFF2-40B4-BE49-F238E27FC236}">
                  <a16:creationId xmlns:a16="http://schemas.microsoft.com/office/drawing/2014/main" id="{22EA55D1-B70C-6600-542C-0A2208F3FA86}"/>
                </a:ext>
              </a:extLst>
            </xdr:cNvPr>
            <xdr:cNvSpPr>
              <a:spLocks/>
            </xdr:cNvSpPr>
          </xdr:nvSpPr>
          <xdr:spPr bwMode="auto">
            <a:xfrm>
              <a:off x="5486400" y="2286000"/>
              <a:ext cx="2312988" cy="1550988"/>
            </a:xfrm>
            <a:custGeom>
              <a:avLst/>
              <a:gdLst>
                <a:gd name="T0" fmla="*/ 34 w 340"/>
                <a:gd name="T1" fmla="*/ 227 h 227"/>
                <a:gd name="T2" fmla="*/ 0 w 340"/>
                <a:gd name="T3" fmla="*/ 203 h 227"/>
                <a:gd name="T4" fmla="*/ 0 w 340"/>
                <a:gd name="T5" fmla="*/ 44 h 227"/>
                <a:gd name="T6" fmla="*/ 34 w 340"/>
                <a:gd name="T7" fmla="*/ 0 h 227"/>
                <a:gd name="T8" fmla="*/ 306 w 340"/>
                <a:gd name="T9" fmla="*/ 0 h 227"/>
                <a:gd name="T10" fmla="*/ 340 w 340"/>
                <a:gd name="T11" fmla="*/ 34 h 227"/>
                <a:gd name="T12" fmla="*/ 340 w 340"/>
                <a:gd name="T13" fmla="*/ 193 h 227"/>
                <a:gd name="T14" fmla="*/ 306 w 340"/>
                <a:gd name="T15" fmla="*/ 227 h 227"/>
                <a:gd name="T16" fmla="*/ 34 w 340"/>
                <a:gd name="T17" fmla="*/ 227 h 2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0" h="227">
                  <a:moveTo>
                    <a:pt x="34" y="227"/>
                  </a:moveTo>
                  <a:cubicBezTo>
                    <a:pt x="15" y="227"/>
                    <a:pt x="0" y="211"/>
                    <a:pt x="0" y="203"/>
                  </a:cubicBezTo>
                  <a:cubicBezTo>
                    <a:pt x="0" y="44"/>
                    <a:pt x="0" y="44"/>
                    <a:pt x="0" y="44"/>
                  </a:cubicBezTo>
                  <a:cubicBezTo>
                    <a:pt x="0" y="15"/>
                    <a:pt x="15" y="0"/>
                    <a:pt x="34" y="0"/>
                  </a:cubicBezTo>
                  <a:cubicBezTo>
                    <a:pt x="306" y="0"/>
                    <a:pt x="306" y="0"/>
                    <a:pt x="306" y="0"/>
                  </a:cubicBezTo>
                  <a:cubicBezTo>
                    <a:pt x="325" y="0"/>
                    <a:pt x="340" y="15"/>
                    <a:pt x="340" y="34"/>
                  </a:cubicBezTo>
                  <a:cubicBezTo>
                    <a:pt x="340" y="193"/>
                    <a:pt x="340" y="193"/>
                    <a:pt x="340" y="193"/>
                  </a:cubicBezTo>
                  <a:cubicBezTo>
                    <a:pt x="340" y="211"/>
                    <a:pt x="325" y="227"/>
                    <a:pt x="306" y="227"/>
                  </a:cubicBezTo>
                  <a:lnTo>
                    <a:pt x="34" y="227"/>
                  </a:lnTo>
                  <a:close/>
                </a:path>
              </a:pathLst>
            </a:custGeom>
            <a:solidFill>
              <a:schemeClr val="bg1">
                <a:lumMod val="95000"/>
              </a:schemeClr>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7" name="Rectángulo 6">
              <a:extLst>
                <a:ext uri="{FF2B5EF4-FFF2-40B4-BE49-F238E27FC236}">
                  <a16:creationId xmlns:a16="http://schemas.microsoft.com/office/drawing/2014/main" id="{A2167BD4-42A2-3C5D-055D-C8E4A23B8B92}"/>
                </a:ext>
              </a:extLst>
            </xdr:cNvPr>
            <xdr:cNvSpPr>
              <a:spLocks noChangeArrowheads="1"/>
            </xdr:cNvSpPr>
          </xdr:nvSpPr>
          <xdr:spPr bwMode="auto">
            <a:xfrm>
              <a:off x="5716588" y="2517775"/>
              <a:ext cx="10318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8" name="Rectángulo 7">
              <a:extLst>
                <a:ext uri="{FF2B5EF4-FFF2-40B4-BE49-F238E27FC236}">
                  <a16:creationId xmlns:a16="http://schemas.microsoft.com/office/drawing/2014/main" id="{5BD375E3-3C84-5C33-188A-46433B1BA61A}"/>
                </a:ext>
              </a:extLst>
            </xdr:cNvPr>
            <xdr:cNvSpPr>
              <a:spLocks noChangeArrowheads="1"/>
            </xdr:cNvSpPr>
          </xdr:nvSpPr>
          <xdr:spPr bwMode="auto">
            <a:xfrm>
              <a:off x="5716588" y="3448050"/>
              <a:ext cx="10318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9" name="Rectángulo 8">
              <a:extLst>
                <a:ext uri="{FF2B5EF4-FFF2-40B4-BE49-F238E27FC236}">
                  <a16:creationId xmlns:a16="http://schemas.microsoft.com/office/drawing/2014/main" id="{7B396DB6-CC34-362D-0166-855E2045BD72}"/>
                </a:ext>
              </a:extLst>
            </xdr:cNvPr>
            <xdr:cNvSpPr>
              <a:spLocks noChangeArrowheads="1"/>
            </xdr:cNvSpPr>
          </xdr:nvSpPr>
          <xdr:spPr bwMode="auto">
            <a:xfrm>
              <a:off x="5888038"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0" name="Rectángulo 9">
              <a:extLst>
                <a:ext uri="{FF2B5EF4-FFF2-40B4-BE49-F238E27FC236}">
                  <a16:creationId xmlns:a16="http://schemas.microsoft.com/office/drawing/2014/main" id="{2EFC82F5-423D-592B-DD3C-61F2BF3C7312}"/>
                </a:ext>
              </a:extLst>
            </xdr:cNvPr>
            <xdr:cNvSpPr>
              <a:spLocks noChangeArrowheads="1"/>
            </xdr:cNvSpPr>
          </xdr:nvSpPr>
          <xdr:spPr bwMode="auto">
            <a:xfrm>
              <a:off x="5888038"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1" name="Rectángulo 10">
              <a:extLst>
                <a:ext uri="{FF2B5EF4-FFF2-40B4-BE49-F238E27FC236}">
                  <a16:creationId xmlns:a16="http://schemas.microsoft.com/office/drawing/2014/main" id="{5457399A-B384-C7BC-B635-15DC92BDF9C3}"/>
                </a:ext>
              </a:extLst>
            </xdr:cNvPr>
            <xdr:cNvSpPr>
              <a:spLocks noChangeArrowheads="1"/>
            </xdr:cNvSpPr>
          </xdr:nvSpPr>
          <xdr:spPr bwMode="auto">
            <a:xfrm>
              <a:off x="6057900" y="2517775"/>
              <a:ext cx="21113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2" name="Rectángulo 11">
              <a:extLst>
                <a:ext uri="{FF2B5EF4-FFF2-40B4-BE49-F238E27FC236}">
                  <a16:creationId xmlns:a16="http://schemas.microsoft.com/office/drawing/2014/main" id="{80BBDACC-0FE7-20F8-1D6C-D0D8A1288DFB}"/>
                </a:ext>
              </a:extLst>
            </xdr:cNvPr>
            <xdr:cNvSpPr>
              <a:spLocks noChangeArrowheads="1"/>
            </xdr:cNvSpPr>
          </xdr:nvSpPr>
          <xdr:spPr bwMode="auto">
            <a:xfrm>
              <a:off x="6057900" y="3448050"/>
              <a:ext cx="21113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3" name="Rectángulo 12">
              <a:extLst>
                <a:ext uri="{FF2B5EF4-FFF2-40B4-BE49-F238E27FC236}">
                  <a16:creationId xmlns:a16="http://schemas.microsoft.com/office/drawing/2014/main" id="{9BF713FE-A49A-7F1D-F53D-B98BB1145776}"/>
                </a:ext>
              </a:extLst>
            </xdr:cNvPr>
            <xdr:cNvSpPr>
              <a:spLocks noChangeArrowheads="1"/>
            </xdr:cNvSpPr>
          </xdr:nvSpPr>
          <xdr:spPr bwMode="auto">
            <a:xfrm>
              <a:off x="6337300" y="3448050"/>
              <a:ext cx="10795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4" name="Rectángulo 13">
              <a:extLst>
                <a:ext uri="{FF2B5EF4-FFF2-40B4-BE49-F238E27FC236}">
                  <a16:creationId xmlns:a16="http://schemas.microsoft.com/office/drawing/2014/main" id="{87D017FC-CCD7-0BD1-62A7-32C654FD1F78}"/>
                </a:ext>
              </a:extLst>
            </xdr:cNvPr>
            <xdr:cNvSpPr>
              <a:spLocks noChangeArrowheads="1"/>
            </xdr:cNvSpPr>
          </xdr:nvSpPr>
          <xdr:spPr bwMode="auto">
            <a:xfrm>
              <a:off x="6337300" y="2517775"/>
              <a:ext cx="10795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5" name="Rectángulo 14">
              <a:extLst>
                <a:ext uri="{FF2B5EF4-FFF2-40B4-BE49-F238E27FC236}">
                  <a16:creationId xmlns:a16="http://schemas.microsoft.com/office/drawing/2014/main" id="{9819A2C4-2502-7B9E-A464-C27041232233}"/>
                </a:ext>
              </a:extLst>
            </xdr:cNvPr>
            <xdr:cNvSpPr>
              <a:spLocks noChangeArrowheads="1"/>
            </xdr:cNvSpPr>
          </xdr:nvSpPr>
          <xdr:spPr bwMode="auto">
            <a:xfrm>
              <a:off x="6507163" y="2517775"/>
              <a:ext cx="265113"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6" name="Rectángulo 15">
              <a:extLst>
                <a:ext uri="{FF2B5EF4-FFF2-40B4-BE49-F238E27FC236}">
                  <a16:creationId xmlns:a16="http://schemas.microsoft.com/office/drawing/2014/main" id="{1EEC9A01-DE11-1B20-C936-9425DE53D53F}"/>
                </a:ext>
              </a:extLst>
            </xdr:cNvPr>
            <xdr:cNvSpPr>
              <a:spLocks noChangeArrowheads="1"/>
            </xdr:cNvSpPr>
          </xdr:nvSpPr>
          <xdr:spPr bwMode="auto">
            <a:xfrm>
              <a:off x="6507163" y="3448050"/>
              <a:ext cx="265113"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7" name="Rectángulo 16">
              <a:extLst>
                <a:ext uri="{FF2B5EF4-FFF2-40B4-BE49-F238E27FC236}">
                  <a16:creationId xmlns:a16="http://schemas.microsoft.com/office/drawing/2014/main" id="{F422977E-DC46-74EA-4184-304DA08DFB25}"/>
                </a:ext>
              </a:extLst>
            </xdr:cNvPr>
            <xdr:cNvSpPr>
              <a:spLocks noChangeArrowheads="1"/>
            </xdr:cNvSpPr>
          </xdr:nvSpPr>
          <xdr:spPr bwMode="auto">
            <a:xfrm>
              <a:off x="6840538"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8" name="Rectángulo 17">
              <a:extLst>
                <a:ext uri="{FF2B5EF4-FFF2-40B4-BE49-F238E27FC236}">
                  <a16:creationId xmlns:a16="http://schemas.microsoft.com/office/drawing/2014/main" id="{BCF9B291-45B5-CF5F-3C0F-02C849BF3C60}"/>
                </a:ext>
              </a:extLst>
            </xdr:cNvPr>
            <xdr:cNvSpPr>
              <a:spLocks noChangeArrowheads="1"/>
            </xdr:cNvSpPr>
          </xdr:nvSpPr>
          <xdr:spPr bwMode="auto">
            <a:xfrm>
              <a:off x="6840538"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19" name="Rectángulo 18">
              <a:extLst>
                <a:ext uri="{FF2B5EF4-FFF2-40B4-BE49-F238E27FC236}">
                  <a16:creationId xmlns:a16="http://schemas.microsoft.com/office/drawing/2014/main" id="{40F192FA-86D8-C85C-E8EB-A8C27BAF77FD}"/>
                </a:ext>
              </a:extLst>
            </xdr:cNvPr>
            <xdr:cNvSpPr>
              <a:spLocks noChangeArrowheads="1"/>
            </xdr:cNvSpPr>
          </xdr:nvSpPr>
          <xdr:spPr bwMode="auto">
            <a:xfrm>
              <a:off x="7010400" y="2517775"/>
              <a:ext cx="211138"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0" name="Rectángulo 19">
              <a:extLst>
                <a:ext uri="{FF2B5EF4-FFF2-40B4-BE49-F238E27FC236}">
                  <a16:creationId xmlns:a16="http://schemas.microsoft.com/office/drawing/2014/main" id="{E7406B7E-E719-0C62-D71E-5F430C037EC4}"/>
                </a:ext>
              </a:extLst>
            </xdr:cNvPr>
            <xdr:cNvSpPr>
              <a:spLocks noChangeArrowheads="1"/>
            </xdr:cNvSpPr>
          </xdr:nvSpPr>
          <xdr:spPr bwMode="auto">
            <a:xfrm>
              <a:off x="7010400" y="3448050"/>
              <a:ext cx="211138"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1" name="Rectángulo 20">
              <a:extLst>
                <a:ext uri="{FF2B5EF4-FFF2-40B4-BE49-F238E27FC236}">
                  <a16:creationId xmlns:a16="http://schemas.microsoft.com/office/drawing/2014/main" id="{EC6F7F30-57E9-C3B0-ABC2-60106E26A082}"/>
                </a:ext>
              </a:extLst>
            </xdr:cNvPr>
            <xdr:cNvSpPr>
              <a:spLocks noChangeArrowheads="1"/>
            </xdr:cNvSpPr>
          </xdr:nvSpPr>
          <xdr:spPr bwMode="auto">
            <a:xfrm>
              <a:off x="7289800" y="2517775"/>
              <a:ext cx="10795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2" name="Rectángulo 21">
              <a:extLst>
                <a:ext uri="{FF2B5EF4-FFF2-40B4-BE49-F238E27FC236}">
                  <a16:creationId xmlns:a16="http://schemas.microsoft.com/office/drawing/2014/main" id="{7EF65562-3CDF-167C-3AA3-8950CCFA7E4E}"/>
                </a:ext>
              </a:extLst>
            </xdr:cNvPr>
            <xdr:cNvSpPr>
              <a:spLocks noChangeArrowheads="1"/>
            </xdr:cNvSpPr>
          </xdr:nvSpPr>
          <xdr:spPr bwMode="auto">
            <a:xfrm>
              <a:off x="7289800" y="3448050"/>
              <a:ext cx="10795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3" name="Rectángulo 22">
              <a:extLst>
                <a:ext uri="{FF2B5EF4-FFF2-40B4-BE49-F238E27FC236}">
                  <a16:creationId xmlns:a16="http://schemas.microsoft.com/office/drawing/2014/main" id="{1F2DCEF3-9D30-78D4-7FB6-064D079D4874}"/>
                </a:ext>
              </a:extLst>
            </xdr:cNvPr>
            <xdr:cNvSpPr>
              <a:spLocks noChangeArrowheads="1"/>
            </xdr:cNvSpPr>
          </xdr:nvSpPr>
          <xdr:spPr bwMode="auto">
            <a:xfrm>
              <a:off x="7466013" y="3448050"/>
              <a:ext cx="101600" cy="1571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4" name="Rectángulo 23">
              <a:extLst>
                <a:ext uri="{FF2B5EF4-FFF2-40B4-BE49-F238E27FC236}">
                  <a16:creationId xmlns:a16="http://schemas.microsoft.com/office/drawing/2014/main" id="{61CAB2DB-2582-3293-6467-CD3B2176AF6B}"/>
                </a:ext>
              </a:extLst>
            </xdr:cNvPr>
            <xdr:cNvSpPr>
              <a:spLocks noChangeArrowheads="1"/>
            </xdr:cNvSpPr>
          </xdr:nvSpPr>
          <xdr:spPr bwMode="auto">
            <a:xfrm>
              <a:off x="7466013" y="2517775"/>
              <a:ext cx="101600" cy="601663"/>
            </a:xfrm>
            <a:prstGeom prst="rect">
              <a:avLst/>
            </a:prstGeom>
            <a:solidFill>
              <a:schemeClr val="tx1"/>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sp macro="" textlink="">
          <xdr:nvSpPr>
            <xdr:cNvPr id="25" name="Forma libre 47">
              <a:extLst>
                <a:ext uri="{FF2B5EF4-FFF2-40B4-BE49-F238E27FC236}">
                  <a16:creationId xmlns:a16="http://schemas.microsoft.com/office/drawing/2014/main" id="{4CEEB464-32FB-F16E-D3AB-AFE3DA595FBD}"/>
                </a:ext>
              </a:extLst>
            </xdr:cNvPr>
            <xdr:cNvSpPr>
              <a:spLocks/>
            </xdr:cNvSpPr>
          </xdr:nvSpPr>
          <xdr:spPr bwMode="auto">
            <a:xfrm>
              <a:off x="5614988" y="3235325"/>
              <a:ext cx="2055813" cy="95250"/>
            </a:xfrm>
            <a:custGeom>
              <a:avLst/>
              <a:gdLst>
                <a:gd name="T0" fmla="*/ 302 w 302"/>
                <a:gd name="T1" fmla="*/ 8 h 14"/>
                <a:gd name="T2" fmla="*/ 296 w 302"/>
                <a:gd name="T3" fmla="*/ 14 h 14"/>
                <a:gd name="T4" fmla="*/ 6 w 302"/>
                <a:gd name="T5" fmla="*/ 14 h 14"/>
                <a:gd name="T6" fmla="*/ 0 w 302"/>
                <a:gd name="T7" fmla="*/ 8 h 14"/>
                <a:gd name="T8" fmla="*/ 0 w 302"/>
                <a:gd name="T9" fmla="*/ 6 h 14"/>
                <a:gd name="T10" fmla="*/ 6 w 302"/>
                <a:gd name="T11" fmla="*/ 0 h 14"/>
                <a:gd name="T12" fmla="*/ 296 w 302"/>
                <a:gd name="T13" fmla="*/ 0 h 14"/>
                <a:gd name="T14" fmla="*/ 302 w 302"/>
                <a:gd name="T15" fmla="*/ 6 h 14"/>
                <a:gd name="T16" fmla="*/ 302 w 302"/>
                <a:gd name="T17" fmla="*/ 8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2" h="14">
                  <a:moveTo>
                    <a:pt x="302" y="8"/>
                  </a:moveTo>
                  <a:cubicBezTo>
                    <a:pt x="302" y="11"/>
                    <a:pt x="299" y="14"/>
                    <a:pt x="296" y="14"/>
                  </a:cubicBezTo>
                  <a:cubicBezTo>
                    <a:pt x="6" y="14"/>
                    <a:pt x="6" y="14"/>
                    <a:pt x="6" y="14"/>
                  </a:cubicBezTo>
                  <a:cubicBezTo>
                    <a:pt x="2" y="14"/>
                    <a:pt x="0" y="11"/>
                    <a:pt x="0" y="8"/>
                  </a:cubicBezTo>
                  <a:cubicBezTo>
                    <a:pt x="0" y="6"/>
                    <a:pt x="0" y="6"/>
                    <a:pt x="0" y="6"/>
                  </a:cubicBezTo>
                  <a:cubicBezTo>
                    <a:pt x="0" y="3"/>
                    <a:pt x="2" y="0"/>
                    <a:pt x="6" y="0"/>
                  </a:cubicBezTo>
                  <a:cubicBezTo>
                    <a:pt x="296" y="0"/>
                    <a:pt x="296" y="0"/>
                    <a:pt x="296" y="0"/>
                  </a:cubicBezTo>
                  <a:cubicBezTo>
                    <a:pt x="299" y="0"/>
                    <a:pt x="302" y="3"/>
                    <a:pt x="302" y="6"/>
                  </a:cubicBezTo>
                  <a:lnTo>
                    <a:pt x="302" y="8"/>
                  </a:lnTo>
                  <a:close/>
                </a:path>
              </a:pathLst>
            </a:custGeom>
            <a:solidFill>
              <a:srgbClr val="FF0000"/>
            </a:solidFill>
            <a:ln>
              <a:noFill/>
            </a:ln>
          </xdr:spPr>
          <xdr:txBody>
            <a:bodyPr vert="horz" wrap="square" lIns="91440" tIns="45720" rIns="91440" bIns="45720" numCol="1" rtlCol="0"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endParaRPr lang="en-GB"/>
            </a:p>
          </xdr:txBody>
        </xdr:sp>
      </xdr:grpSp>
      <xdr:sp macro="" textlink="">
        <xdr:nvSpPr>
          <xdr:cNvPr id="5" name="Cuadro de texto 29">
            <a:extLst>
              <a:ext uri="{FF2B5EF4-FFF2-40B4-BE49-F238E27FC236}">
                <a16:creationId xmlns:a16="http://schemas.microsoft.com/office/drawing/2014/main" id="{F75ABF3B-721F-32D3-0D98-953B87DC36A5}"/>
              </a:ext>
            </a:extLst>
          </xdr:cNvPr>
          <xdr:cNvSpPr txBox="1"/>
        </xdr:nvSpPr>
        <xdr:spPr>
          <a:xfrm>
            <a:off x="1343024" y="438149"/>
            <a:ext cx="10482384"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es-ES" sz="2400" b="1" i="0">
                <a:solidFill>
                  <a:schemeClr val="bg1"/>
                </a:solidFill>
                <a:effectLst/>
                <a:latin typeface="+mn-lt"/>
                <a:ea typeface="+mn-ea"/>
                <a:cs typeface="+mn-cs"/>
              </a:rPr>
              <a:t>Lista de precios PVP Mayo 2025 - BUR2000, S.A.</a:t>
            </a:r>
            <a:endParaRPr lang="es" sz="4800" b="1">
              <a:solidFill>
                <a:schemeClr val="bg1"/>
              </a:solidFill>
              <a:latin typeface="Arial" panose="020B0604020202020204" pitchFamily="34" charset="0"/>
            </a:endParaRPr>
          </a:p>
        </xdr:txBody>
      </xdr:sp>
    </xdr:grpSp>
    <xdr:clientData/>
  </xdr:twoCellAnchor>
  <xdr:twoCellAnchor>
    <xdr:from>
      <xdr:col>1</xdr:col>
      <xdr:colOff>37798</xdr:colOff>
      <xdr:row>8</xdr:row>
      <xdr:rowOff>36287</xdr:rowOff>
    </xdr:from>
    <xdr:to>
      <xdr:col>8</xdr:col>
      <xdr:colOff>0</xdr:colOff>
      <xdr:row>10</xdr:row>
      <xdr:rowOff>36286</xdr:rowOff>
    </xdr:to>
    <xdr:grpSp>
      <xdr:nvGrpSpPr>
        <xdr:cNvPr id="26" name="Grupo 25" descr="gráfico de encabezado con código de barras del producto">
          <a:extLst>
            <a:ext uri="{FF2B5EF4-FFF2-40B4-BE49-F238E27FC236}">
              <a16:creationId xmlns:a16="http://schemas.microsoft.com/office/drawing/2014/main" id="{68714114-1EE4-4F48-8010-9CF03DB768DA}"/>
            </a:ext>
          </a:extLst>
        </xdr:cNvPr>
        <xdr:cNvGrpSpPr/>
      </xdr:nvGrpSpPr>
      <xdr:grpSpPr>
        <a:xfrm>
          <a:off x="228298" y="1549704"/>
          <a:ext cx="14493119" cy="328082"/>
          <a:chOff x="1247019" y="438149"/>
          <a:chExt cx="10592556" cy="600076"/>
        </a:xfrm>
        <a:solidFill>
          <a:srgbClr val="0667A4"/>
        </a:solidFill>
      </xdr:grpSpPr>
      <xdr:sp macro="" textlink="">
        <xdr:nvSpPr>
          <xdr:cNvPr id="27" name="Rectángulo 26">
            <a:extLst>
              <a:ext uri="{FF2B5EF4-FFF2-40B4-BE49-F238E27FC236}">
                <a16:creationId xmlns:a16="http://schemas.microsoft.com/office/drawing/2014/main" id="{C0DBB247-242D-9C9A-9954-7D3EA286CDAA}"/>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28" name="Cuadro de texto 29">
            <a:extLst>
              <a:ext uri="{FF2B5EF4-FFF2-40B4-BE49-F238E27FC236}">
                <a16:creationId xmlns:a16="http://schemas.microsoft.com/office/drawing/2014/main" id="{0500AA8B-9829-86B0-4EE1-DCE9CFB4256F}"/>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Térmico</a:t>
            </a:r>
          </a:p>
        </xdr:txBody>
      </xdr:sp>
    </xdr:grpSp>
    <xdr:clientData/>
  </xdr:twoCellAnchor>
  <xdr:twoCellAnchor editAs="oneCell">
    <xdr:from>
      <xdr:col>1</xdr:col>
      <xdr:colOff>793685</xdr:colOff>
      <xdr:row>0</xdr:row>
      <xdr:rowOff>42079</xdr:rowOff>
    </xdr:from>
    <xdr:to>
      <xdr:col>2</xdr:col>
      <xdr:colOff>2131786</xdr:colOff>
      <xdr:row>5</xdr:row>
      <xdr:rowOff>170749</xdr:rowOff>
    </xdr:to>
    <xdr:pic>
      <xdr:nvPicPr>
        <xdr:cNvPr id="29" name="Imagen 28">
          <a:extLst>
            <a:ext uri="{FF2B5EF4-FFF2-40B4-BE49-F238E27FC236}">
              <a16:creationId xmlns:a16="http://schemas.microsoft.com/office/drawing/2014/main" id="{3D44A00A-F197-42AC-8EB4-A0A1316F9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241" y="42079"/>
          <a:ext cx="2509323" cy="890670"/>
        </a:xfrm>
        <a:prstGeom prst="rect">
          <a:avLst/>
        </a:prstGeom>
      </xdr:spPr>
    </xdr:pic>
    <xdr:clientData/>
  </xdr:twoCellAnchor>
  <xdr:twoCellAnchor>
    <xdr:from>
      <xdr:col>1</xdr:col>
      <xdr:colOff>10583</xdr:colOff>
      <xdr:row>72</xdr:row>
      <xdr:rowOff>1</xdr:rowOff>
    </xdr:from>
    <xdr:to>
      <xdr:col>13</xdr:col>
      <xdr:colOff>18142</xdr:colOff>
      <xdr:row>74</xdr:row>
      <xdr:rowOff>0</xdr:rowOff>
    </xdr:to>
    <xdr:grpSp>
      <xdr:nvGrpSpPr>
        <xdr:cNvPr id="30" name="Grupo 29" descr="gráfico de encabezado con código de barras del producto">
          <a:extLst>
            <a:ext uri="{FF2B5EF4-FFF2-40B4-BE49-F238E27FC236}">
              <a16:creationId xmlns:a16="http://schemas.microsoft.com/office/drawing/2014/main" id="{A7880D76-336E-4724-A67E-6BFDC0E1FC3E}"/>
            </a:ext>
          </a:extLst>
        </xdr:cNvPr>
        <xdr:cNvGrpSpPr/>
      </xdr:nvGrpSpPr>
      <xdr:grpSpPr>
        <a:xfrm>
          <a:off x="201083" y="18690168"/>
          <a:ext cx="14538476" cy="423332"/>
          <a:chOff x="1247019" y="438149"/>
          <a:chExt cx="10592556" cy="600076"/>
        </a:xfrm>
        <a:solidFill>
          <a:srgbClr val="7CAF2A"/>
        </a:solidFill>
      </xdr:grpSpPr>
      <xdr:sp macro="" textlink="">
        <xdr:nvSpPr>
          <xdr:cNvPr id="31" name="Rectángulo 30">
            <a:extLst>
              <a:ext uri="{FF2B5EF4-FFF2-40B4-BE49-F238E27FC236}">
                <a16:creationId xmlns:a16="http://schemas.microsoft.com/office/drawing/2014/main" id="{6F7F7919-9E2F-FD69-983A-11D25D26DD58}"/>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32" name="Cuadro de texto 29">
            <a:extLst>
              <a:ext uri="{FF2B5EF4-FFF2-40B4-BE49-F238E27FC236}">
                <a16:creationId xmlns:a16="http://schemas.microsoft.com/office/drawing/2014/main" id="{F4F3A9A8-AC67-C9BF-0904-34524ADC2FF0}"/>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Acústico</a:t>
            </a:r>
          </a:p>
        </xdr:txBody>
      </xdr:sp>
    </xdr:grpSp>
    <xdr:clientData/>
  </xdr:twoCellAnchor>
  <xdr:twoCellAnchor>
    <xdr:from>
      <xdr:col>1</xdr:col>
      <xdr:colOff>10584</xdr:colOff>
      <xdr:row>144</xdr:row>
      <xdr:rowOff>1</xdr:rowOff>
    </xdr:from>
    <xdr:to>
      <xdr:col>8</xdr:col>
      <xdr:colOff>0</xdr:colOff>
      <xdr:row>146</xdr:row>
      <xdr:rowOff>0</xdr:rowOff>
    </xdr:to>
    <xdr:grpSp>
      <xdr:nvGrpSpPr>
        <xdr:cNvPr id="33" name="Grupo 32" descr="gráfico de encabezado con código de barras del producto">
          <a:extLst>
            <a:ext uri="{FF2B5EF4-FFF2-40B4-BE49-F238E27FC236}">
              <a16:creationId xmlns:a16="http://schemas.microsoft.com/office/drawing/2014/main" id="{FE871064-DB76-45E8-922A-3D8F7972D800}"/>
            </a:ext>
          </a:extLst>
        </xdr:cNvPr>
        <xdr:cNvGrpSpPr/>
      </xdr:nvGrpSpPr>
      <xdr:grpSpPr>
        <a:xfrm>
          <a:off x="201084" y="38999584"/>
          <a:ext cx="14520333" cy="423333"/>
          <a:chOff x="1247019" y="438149"/>
          <a:chExt cx="10592556" cy="600076"/>
        </a:xfrm>
        <a:solidFill>
          <a:srgbClr val="F09703"/>
        </a:solidFill>
      </xdr:grpSpPr>
      <xdr:sp macro="" textlink="">
        <xdr:nvSpPr>
          <xdr:cNvPr id="34" name="Rectángulo 33">
            <a:extLst>
              <a:ext uri="{FF2B5EF4-FFF2-40B4-BE49-F238E27FC236}">
                <a16:creationId xmlns:a16="http://schemas.microsoft.com/office/drawing/2014/main" id="{7915C67C-B901-E8D8-5815-22AFE37D94AA}"/>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35" name="Cuadro de texto 29">
            <a:extLst>
              <a:ext uri="{FF2B5EF4-FFF2-40B4-BE49-F238E27FC236}">
                <a16:creationId xmlns:a16="http://schemas.microsoft.com/office/drawing/2014/main" id="{C4D17736-00A3-AC0F-CE7D-E1CDCD78962F}"/>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Anti Impacto</a:t>
            </a:r>
          </a:p>
        </xdr:txBody>
      </xdr:sp>
    </xdr:grpSp>
    <xdr:clientData/>
  </xdr:twoCellAnchor>
  <xdr:twoCellAnchor>
    <xdr:from>
      <xdr:col>1</xdr:col>
      <xdr:colOff>10584</xdr:colOff>
      <xdr:row>239</xdr:row>
      <xdr:rowOff>1</xdr:rowOff>
    </xdr:from>
    <xdr:to>
      <xdr:col>13</xdr:col>
      <xdr:colOff>36286</xdr:colOff>
      <xdr:row>241</xdr:row>
      <xdr:rowOff>179918</xdr:rowOff>
    </xdr:to>
    <xdr:grpSp>
      <xdr:nvGrpSpPr>
        <xdr:cNvPr id="36" name="Grupo 35" descr="gráfico de encabezado con código de barras del producto">
          <a:extLst>
            <a:ext uri="{FF2B5EF4-FFF2-40B4-BE49-F238E27FC236}">
              <a16:creationId xmlns:a16="http://schemas.microsoft.com/office/drawing/2014/main" id="{700D7E90-2325-481B-977D-8285024C296D}"/>
            </a:ext>
          </a:extLst>
        </xdr:cNvPr>
        <xdr:cNvGrpSpPr/>
      </xdr:nvGrpSpPr>
      <xdr:grpSpPr>
        <a:xfrm>
          <a:off x="201084" y="65182751"/>
          <a:ext cx="14556619" cy="357717"/>
          <a:chOff x="1247019" y="438149"/>
          <a:chExt cx="10592556" cy="600076"/>
        </a:xfrm>
        <a:solidFill>
          <a:srgbClr val="F09703"/>
        </a:solidFill>
      </xdr:grpSpPr>
      <xdr:sp macro="" textlink="">
        <xdr:nvSpPr>
          <xdr:cNvPr id="37" name="Rectángulo 36">
            <a:extLst>
              <a:ext uri="{FF2B5EF4-FFF2-40B4-BE49-F238E27FC236}">
                <a16:creationId xmlns:a16="http://schemas.microsoft.com/office/drawing/2014/main" id="{255BFC0D-4ED2-C1EA-0A92-675757CD1D72}"/>
              </a:ext>
            </a:extLst>
          </xdr:cNvPr>
          <xdr:cNvSpPr/>
        </xdr:nvSpPr>
        <xdr:spPr>
          <a:xfrm>
            <a:off x="1247019" y="438149"/>
            <a:ext cx="10592556" cy="600075"/>
          </a:xfrm>
          <a:prstGeom prst="rect">
            <a:avLst/>
          </a:prstGeom>
          <a:solidFill>
            <a:srgbClr val="706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38" name="Cuadro de texto 29">
            <a:extLst>
              <a:ext uri="{FF2B5EF4-FFF2-40B4-BE49-F238E27FC236}">
                <a16:creationId xmlns:a16="http://schemas.microsoft.com/office/drawing/2014/main" id="{2CC3B25F-E92D-8C61-C9B3-87F65AA60B23}"/>
              </a:ext>
            </a:extLst>
          </xdr:cNvPr>
          <xdr:cNvSpPr txBox="1"/>
        </xdr:nvSpPr>
        <xdr:spPr>
          <a:xfrm>
            <a:off x="1343024" y="438150"/>
            <a:ext cx="5415543" cy="600075"/>
          </a:xfrm>
          <a:prstGeom prst="rect">
            <a:avLst/>
          </a:prstGeom>
          <a:solidFill>
            <a:srgbClr val="706F6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Complementos</a:t>
            </a:r>
            <a:r>
              <a:rPr lang="es" sz="1800" b="1" baseline="0">
                <a:solidFill>
                  <a:schemeClr val="bg1"/>
                </a:solidFill>
                <a:latin typeface="Arial" panose="020B0604020202020204" pitchFamily="34" charset="0"/>
              </a:rPr>
              <a:t> para la Instalación.</a:t>
            </a:r>
            <a:endParaRPr lang="es" sz="1800" b="1">
              <a:solidFill>
                <a:schemeClr val="bg1"/>
              </a:solidFill>
              <a:latin typeface="Arial" panose="020B0604020202020204" pitchFamily="34" charset="0"/>
            </a:endParaRPr>
          </a:p>
        </xdr:txBody>
      </xdr:sp>
    </xdr:grpSp>
    <xdr:clientData/>
  </xdr:twoCellAnchor>
  <xdr:twoCellAnchor>
    <xdr:from>
      <xdr:col>1</xdr:col>
      <xdr:colOff>10584</xdr:colOff>
      <xdr:row>130</xdr:row>
      <xdr:rowOff>0</xdr:rowOff>
    </xdr:from>
    <xdr:to>
      <xdr:col>8</xdr:col>
      <xdr:colOff>0</xdr:colOff>
      <xdr:row>130</xdr:row>
      <xdr:rowOff>0</xdr:rowOff>
    </xdr:to>
    <xdr:grpSp>
      <xdr:nvGrpSpPr>
        <xdr:cNvPr id="39" name="Grupo 38" descr="gráfico de encabezado con código de barras del producto">
          <a:extLst>
            <a:ext uri="{FF2B5EF4-FFF2-40B4-BE49-F238E27FC236}">
              <a16:creationId xmlns:a16="http://schemas.microsoft.com/office/drawing/2014/main" id="{80747FBC-6407-4F3A-B4D1-F363AC205941}"/>
            </a:ext>
          </a:extLst>
        </xdr:cNvPr>
        <xdr:cNvGrpSpPr/>
      </xdr:nvGrpSpPr>
      <xdr:grpSpPr>
        <a:xfrm>
          <a:off x="201084" y="35115500"/>
          <a:ext cx="14520333" cy="0"/>
          <a:chOff x="1247019" y="438149"/>
          <a:chExt cx="10592556" cy="600076"/>
        </a:xfrm>
        <a:solidFill>
          <a:srgbClr val="7CAF2A"/>
        </a:solidFill>
      </xdr:grpSpPr>
      <xdr:sp macro="" textlink="">
        <xdr:nvSpPr>
          <xdr:cNvPr id="40" name="Rectángulo 39">
            <a:extLst>
              <a:ext uri="{FF2B5EF4-FFF2-40B4-BE49-F238E27FC236}">
                <a16:creationId xmlns:a16="http://schemas.microsoft.com/office/drawing/2014/main" id="{F95431A1-E4D7-EC49-5D91-3C8985E2790E}"/>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41" name="Cuadro de texto 29">
            <a:extLst>
              <a:ext uri="{FF2B5EF4-FFF2-40B4-BE49-F238E27FC236}">
                <a16:creationId xmlns:a16="http://schemas.microsoft.com/office/drawing/2014/main" id="{E166A2E8-9669-7257-1859-B0BF9207B242}"/>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Acústico</a:t>
            </a:r>
          </a:p>
        </xdr:txBody>
      </xdr:sp>
    </xdr:grpSp>
    <xdr:clientData/>
  </xdr:twoCellAnchor>
  <xdr:twoCellAnchor>
    <xdr:from>
      <xdr:col>1</xdr:col>
      <xdr:colOff>0</xdr:colOff>
      <xdr:row>183</xdr:row>
      <xdr:rowOff>0</xdr:rowOff>
    </xdr:from>
    <xdr:to>
      <xdr:col>13</xdr:col>
      <xdr:colOff>0</xdr:colOff>
      <xdr:row>186</xdr:row>
      <xdr:rowOff>0</xdr:rowOff>
    </xdr:to>
    <xdr:sp macro="" textlink="">
      <xdr:nvSpPr>
        <xdr:cNvPr id="42" name="Rectángulo 41">
          <a:extLst>
            <a:ext uri="{FF2B5EF4-FFF2-40B4-BE49-F238E27FC236}">
              <a16:creationId xmlns:a16="http://schemas.microsoft.com/office/drawing/2014/main" id="{CA43A31C-59C2-4FF5-9EC4-3B18E45FFF2F}"/>
            </a:ext>
          </a:extLst>
        </xdr:cNvPr>
        <xdr:cNvSpPr/>
      </xdr:nvSpPr>
      <xdr:spPr>
        <a:xfrm>
          <a:off x="196850" y="47390050"/>
          <a:ext cx="15220950" cy="558800"/>
        </a:xfrm>
        <a:prstGeom prst="rect">
          <a:avLst/>
        </a:prstGeom>
        <a:solidFill>
          <a:srgbClr val="F097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clientData/>
  </xdr:twoCellAnchor>
  <xdr:twoCellAnchor>
    <xdr:from>
      <xdr:col>1</xdr:col>
      <xdr:colOff>0</xdr:colOff>
      <xdr:row>183</xdr:row>
      <xdr:rowOff>0</xdr:rowOff>
    </xdr:from>
    <xdr:to>
      <xdr:col>3</xdr:col>
      <xdr:colOff>2371976</xdr:colOff>
      <xdr:row>186</xdr:row>
      <xdr:rowOff>15873</xdr:rowOff>
    </xdr:to>
    <xdr:sp macro="" textlink="">
      <xdr:nvSpPr>
        <xdr:cNvPr id="43" name="Cuadro de texto 29">
          <a:extLst>
            <a:ext uri="{FF2B5EF4-FFF2-40B4-BE49-F238E27FC236}">
              <a16:creationId xmlns:a16="http://schemas.microsoft.com/office/drawing/2014/main" id="{FFAE2059-1ABE-4073-90F1-C8A1A040AE94}"/>
            </a:ext>
          </a:extLst>
        </xdr:cNvPr>
        <xdr:cNvSpPr txBox="1"/>
      </xdr:nvSpPr>
      <xdr:spPr>
        <a:xfrm>
          <a:off x="196850" y="47390050"/>
          <a:ext cx="6340726" cy="574673"/>
        </a:xfrm>
        <a:prstGeom prst="rect">
          <a:avLst/>
        </a:prstGeom>
        <a:solidFill>
          <a:srgbClr val="F0970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Anti Impacto</a:t>
          </a:r>
        </a:p>
      </xdr:txBody>
    </xdr:sp>
    <xdr:clientData/>
  </xdr:twoCellAnchor>
  <xdr:twoCellAnchor>
    <xdr:from>
      <xdr:col>1</xdr:col>
      <xdr:colOff>27218</xdr:colOff>
      <xdr:row>46</xdr:row>
      <xdr:rowOff>99788</xdr:rowOff>
    </xdr:from>
    <xdr:to>
      <xdr:col>12</xdr:col>
      <xdr:colOff>1116998</xdr:colOff>
      <xdr:row>50</xdr:row>
      <xdr:rowOff>9071</xdr:rowOff>
    </xdr:to>
    <xdr:sp macro="" textlink="">
      <xdr:nvSpPr>
        <xdr:cNvPr id="44" name="Rectángulo 43">
          <a:extLst>
            <a:ext uri="{FF2B5EF4-FFF2-40B4-BE49-F238E27FC236}">
              <a16:creationId xmlns:a16="http://schemas.microsoft.com/office/drawing/2014/main" id="{2B15E037-09F5-45AC-AAEB-992EA6F035A4}"/>
            </a:ext>
          </a:extLst>
        </xdr:cNvPr>
        <xdr:cNvSpPr/>
      </xdr:nvSpPr>
      <xdr:spPr>
        <a:xfrm>
          <a:off x="224068" y="11313888"/>
          <a:ext cx="15193732" cy="442683"/>
        </a:xfrm>
        <a:prstGeom prst="rect">
          <a:avLst/>
        </a:prstGeom>
        <a:solidFill>
          <a:srgbClr val="0667A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clientData/>
  </xdr:twoCellAnchor>
  <xdr:twoCellAnchor>
    <xdr:from>
      <xdr:col>1</xdr:col>
      <xdr:colOff>167905</xdr:colOff>
      <xdr:row>46</xdr:row>
      <xdr:rowOff>99789</xdr:rowOff>
    </xdr:from>
    <xdr:to>
      <xdr:col>3</xdr:col>
      <xdr:colOff>4130602</xdr:colOff>
      <xdr:row>50</xdr:row>
      <xdr:rowOff>9072</xdr:rowOff>
    </xdr:to>
    <xdr:sp macro="" textlink="">
      <xdr:nvSpPr>
        <xdr:cNvPr id="45" name="Cuadro de texto 29">
          <a:extLst>
            <a:ext uri="{FF2B5EF4-FFF2-40B4-BE49-F238E27FC236}">
              <a16:creationId xmlns:a16="http://schemas.microsoft.com/office/drawing/2014/main" id="{31F33167-BFF7-4916-B371-6E67B14A11AC}"/>
            </a:ext>
          </a:extLst>
        </xdr:cNvPr>
        <xdr:cNvSpPr txBox="1"/>
      </xdr:nvSpPr>
      <xdr:spPr>
        <a:xfrm>
          <a:off x="364755" y="11313889"/>
          <a:ext cx="7931447" cy="442683"/>
        </a:xfrm>
        <a:prstGeom prst="rect">
          <a:avLst/>
        </a:prstGeom>
        <a:solidFill>
          <a:srgbClr val="0667A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Térmico</a:t>
          </a:r>
        </a:p>
      </xdr:txBody>
    </xdr:sp>
    <xdr:clientData/>
  </xdr:twoCellAnchor>
  <xdr:twoCellAnchor>
    <xdr:from>
      <xdr:col>1</xdr:col>
      <xdr:colOff>27221</xdr:colOff>
      <xdr:row>108</xdr:row>
      <xdr:rowOff>1</xdr:rowOff>
    </xdr:from>
    <xdr:to>
      <xdr:col>12</xdr:col>
      <xdr:colOff>1114280</xdr:colOff>
      <xdr:row>111</xdr:row>
      <xdr:rowOff>9073</xdr:rowOff>
    </xdr:to>
    <xdr:sp macro="" textlink="">
      <xdr:nvSpPr>
        <xdr:cNvPr id="46" name="Rectángulo 45">
          <a:extLst>
            <a:ext uri="{FF2B5EF4-FFF2-40B4-BE49-F238E27FC236}">
              <a16:creationId xmlns:a16="http://schemas.microsoft.com/office/drawing/2014/main" id="{BEB2B0D9-A660-4B94-9154-67161C57A836}"/>
            </a:ext>
          </a:extLst>
        </xdr:cNvPr>
        <xdr:cNvSpPr/>
      </xdr:nvSpPr>
      <xdr:spPr>
        <a:xfrm>
          <a:off x="224071" y="30276801"/>
          <a:ext cx="15193729" cy="428172"/>
        </a:xfrm>
        <a:prstGeom prst="rect">
          <a:avLst/>
        </a:prstGeom>
        <a:solidFill>
          <a:srgbClr val="7CAF2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clientData/>
  </xdr:twoCellAnchor>
  <xdr:twoCellAnchor>
    <xdr:from>
      <xdr:col>1</xdr:col>
      <xdr:colOff>167883</xdr:colOff>
      <xdr:row>108</xdr:row>
      <xdr:rowOff>2</xdr:rowOff>
    </xdr:from>
    <xdr:to>
      <xdr:col>3</xdr:col>
      <xdr:colOff>4129189</xdr:colOff>
      <xdr:row>110</xdr:row>
      <xdr:rowOff>127001</xdr:rowOff>
    </xdr:to>
    <xdr:sp macro="" textlink="">
      <xdr:nvSpPr>
        <xdr:cNvPr id="47" name="Cuadro de texto 29">
          <a:extLst>
            <a:ext uri="{FF2B5EF4-FFF2-40B4-BE49-F238E27FC236}">
              <a16:creationId xmlns:a16="http://schemas.microsoft.com/office/drawing/2014/main" id="{4159CAD3-2DB8-487A-8718-15B5B0754043}"/>
            </a:ext>
          </a:extLst>
        </xdr:cNvPr>
        <xdr:cNvSpPr txBox="1"/>
      </xdr:nvSpPr>
      <xdr:spPr>
        <a:xfrm>
          <a:off x="364733" y="30276802"/>
          <a:ext cx="7930056" cy="406399"/>
        </a:xfrm>
        <a:prstGeom prst="rect">
          <a:avLst/>
        </a:prstGeom>
        <a:solidFill>
          <a:srgbClr val="7CAF2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Aislamiento Acústico</a:t>
          </a:r>
        </a:p>
      </xdr:txBody>
    </xdr:sp>
    <xdr:clientData/>
  </xdr:twoCellAnchor>
  <xdr:twoCellAnchor>
    <xdr:from>
      <xdr:col>1</xdr:col>
      <xdr:colOff>10584</xdr:colOff>
      <xdr:row>217</xdr:row>
      <xdr:rowOff>1</xdr:rowOff>
    </xdr:from>
    <xdr:to>
      <xdr:col>13</xdr:col>
      <xdr:colOff>36286</xdr:colOff>
      <xdr:row>219</xdr:row>
      <xdr:rowOff>179918</xdr:rowOff>
    </xdr:to>
    <xdr:grpSp>
      <xdr:nvGrpSpPr>
        <xdr:cNvPr id="48" name="Grupo 47" descr="gráfico de encabezado con código de barras del producto">
          <a:extLst>
            <a:ext uri="{FF2B5EF4-FFF2-40B4-BE49-F238E27FC236}">
              <a16:creationId xmlns:a16="http://schemas.microsoft.com/office/drawing/2014/main" id="{11183B19-51B3-4505-BE76-78EE056AA6B7}"/>
            </a:ext>
          </a:extLst>
        </xdr:cNvPr>
        <xdr:cNvGrpSpPr/>
      </xdr:nvGrpSpPr>
      <xdr:grpSpPr>
        <a:xfrm>
          <a:off x="201084" y="59139668"/>
          <a:ext cx="14556619" cy="394758"/>
          <a:chOff x="1247019" y="438149"/>
          <a:chExt cx="10592556" cy="600076"/>
        </a:xfrm>
        <a:solidFill>
          <a:schemeClr val="tx1"/>
        </a:solidFill>
      </xdr:grpSpPr>
      <xdr:sp macro="" textlink="">
        <xdr:nvSpPr>
          <xdr:cNvPr id="49" name="Rectángulo 48">
            <a:extLst>
              <a:ext uri="{FF2B5EF4-FFF2-40B4-BE49-F238E27FC236}">
                <a16:creationId xmlns:a16="http://schemas.microsoft.com/office/drawing/2014/main" id="{F33F0762-96D8-38C4-7E8B-9F17E1ED9B0E}"/>
              </a:ext>
            </a:extLst>
          </xdr:cNvPr>
          <xdr:cNvSpPr/>
        </xdr:nvSpPr>
        <xdr:spPr>
          <a:xfrm>
            <a:off x="1247019" y="438149"/>
            <a:ext cx="10592556" cy="6000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50" name="Cuadro de texto 29">
            <a:extLst>
              <a:ext uri="{FF2B5EF4-FFF2-40B4-BE49-F238E27FC236}">
                <a16:creationId xmlns:a16="http://schemas.microsoft.com/office/drawing/2014/main" id="{0A411C10-7697-CEDD-E2A5-64EBE8C50561}"/>
              </a:ext>
            </a:extLst>
          </xdr:cNvPr>
          <xdr:cNvSpPr txBox="1"/>
        </xdr:nvSpPr>
        <xdr:spPr>
          <a:xfrm>
            <a:off x="1343024" y="438150"/>
            <a:ext cx="5415543" cy="6000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s" sz="1800" b="1">
                <a:solidFill>
                  <a:schemeClr val="bg1"/>
                </a:solidFill>
                <a:latin typeface="Arial" panose="020B0604020202020204" pitchFamily="34" charset="0"/>
              </a:rPr>
              <a:t>Productos</a:t>
            </a:r>
            <a:r>
              <a:rPr lang="es" sz="1800" b="1" baseline="0">
                <a:solidFill>
                  <a:schemeClr val="bg1"/>
                </a:solidFill>
                <a:latin typeface="Arial" panose="020B0604020202020204" pitchFamily="34" charset="0"/>
              </a:rPr>
              <a:t> para la Impermeabilización</a:t>
            </a:r>
            <a:endParaRPr lang="es" sz="1800" b="1">
              <a:solidFill>
                <a:schemeClr val="bg1"/>
              </a:solidFill>
              <a:latin typeface="Arial" panose="020B060402020202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Listas%20de%20Precios%20PVP%20BUR2000\Lista%20de%20Precios%20PVP%20ABRIL%202023%20Juan%20Sorolla.xlsx" TargetMode="External"/><Relationship Id="rId1" Type="http://schemas.openxmlformats.org/officeDocument/2006/relationships/externalLinkPath" Target="Lista%20de%20Precios%20PVP%20ABRIL%202023%20Juan%20Soro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de precios de productos S"/>
    </sheetNames>
    <sheetDataSet>
      <sheetData sheetId="0">
        <row r="8">
          <cell r="B8" t="str">
            <v>Fecha Inicial de Validez</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244599-9761-4133-ACB2-CF317C16E66D}" name="ListaPreciosProductos32" displayName="ListaPreciosProductos32" ref="B22:M28" headerRowDxfId="489" dataDxfId="488">
  <autoFilter ref="B22:M28" xr:uid="{13B74540-3912-47F9-9A72-A5E440B91EE4}"/>
  <sortState xmlns:xlrd2="http://schemas.microsoft.com/office/spreadsheetml/2017/richdata2" ref="B23:H28">
    <sortCondition ref="B22:B28"/>
  </sortState>
  <tableColumns count="12">
    <tableColumn id="1" xr3:uid="{E9568BF2-E451-47A7-86C8-BB727711539B}" name="Referencia" totalsRowLabel="Total" dataDxfId="487" totalsRowDxfId="486"/>
    <tableColumn id="2" xr3:uid="{5A28109F-A2AF-4A4D-80BD-07F0FBBD3FD9}" name="Nombre" dataDxfId="485" totalsRowDxfId="484"/>
    <tableColumn id="3" xr3:uid="{4A5D2B1E-F77C-4B5E-92E3-DB94A0899B5F}" name="Descripción" dataDxfId="483" totalsRowDxfId="482"/>
    <tableColumn id="7" xr3:uid="{E5C865D8-F03A-431D-AC52-2D0E5B4FA707}" name="Dimensiones" dataDxfId="481" totalsRowDxfId="480"/>
    <tableColumn id="5" xr3:uid="{BC439994-6C66-4DAE-9B75-00C174578676}" name="Unidad de Venta" dataDxfId="479" totalsRowDxfId="478"/>
    <tableColumn id="6" xr3:uid="{8BFB17D6-3040-4543-8A95-B921711D8CEE}" name="Presentación" dataDxfId="477" totalsRowDxfId="476"/>
    <tableColumn id="4" xr3:uid="{97E67CCC-0FB1-4489-8C34-3548DC7A032A}" name="Precio PVP" dataDxfId="475" totalsRowDxfId="474" dataCellStyle="Moneda"/>
    <tableColumn id="8" xr3:uid="{24EF17F1-3174-4B6D-94C7-BEE38636D4DB}" name="Columna1" dataDxfId="473" totalsRowDxfId="472">
      <calculatedColumnFormula>+MID(ListaPreciosProductos32[[#This Row],[Precio PVP]],1,5)</calculatedColumnFormula>
    </tableColumn>
    <tableColumn id="9" xr3:uid="{8DB6B6BB-DEF2-42E5-8858-556518A2203A}" name="Columna2" dataDxfId="471" totalsRowDxfId="470" dataCellStyle="Moneda">
      <calculatedColumnFormula>ListaPreciosProductos32[[#This Row],[Columna1]]*0.57</calculatedColumnFormula>
    </tableColumn>
    <tableColumn id="10" xr3:uid="{F3AE4921-1942-4E99-B586-9740B8040CBA}" name="Descuento2" dataDxfId="469" totalsRowDxfId="468" dataCellStyle="Moneda">
      <calculatedColumnFormula>+$H$7</calculatedColumnFormula>
    </tableColumn>
    <tableColumn id="11" xr3:uid="{21B9A76E-06D6-4C9C-8B7F-3E149FA1A339}" name="Precio Neto" dataDxfId="467" totalsRowDxfId="466" dataCellStyle="Moneda">
      <calculatedColumnFormula>+ROUND(ListaPreciosProductos32[[#This Row],[Columna1]]*(1-ListaPreciosProductos32[[#This Row],[Descuento2]]),2)</calculatedColumnFormula>
    </tableColumn>
    <tableColumn id="12" xr3:uid="{B8B91943-2F94-4822-B4BE-7BD723AE996E}" name="Precio Neto2" dataDxfId="465" totalsRowDxfId="464" dataCellStyle="Moneda">
      <calculatedColumnFormula>+ListaPreciosProductos32[[#This Row],[Precio Neto]]&amp;" "&amp;ListaPreciosProductos32[[#This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DA5BD5D-5235-4EFB-875A-872808B57A94}" name="ListaPreciosProductos71331" displayName="ListaPreciosProductos71331" ref="B150:M152" headerRowDxfId="269" dataDxfId="268">
  <autoFilter ref="B150:M152" xr:uid="{2907B3A1-F3DB-4CA6-B235-239CCD1F95CB}"/>
  <tableColumns count="12">
    <tableColumn id="1" xr3:uid="{D7188A0C-5750-46D0-8F87-F34089EB4137}" name="Referencia" totalsRowLabel="Total" dataDxfId="267" totalsRowDxfId="266"/>
    <tableColumn id="2" xr3:uid="{ED7242A9-04E7-4AAA-9010-89186B515701}" name="Nombre" dataDxfId="265" totalsRowDxfId="264"/>
    <tableColumn id="3" xr3:uid="{713855EC-BB1C-4072-AA79-869E5A2A1A40}" name="Descripción" dataDxfId="263" totalsRowDxfId="262"/>
    <tableColumn id="7" xr3:uid="{936DCC5D-19A6-4CC3-A09B-15CE9E89E084}" name="Dimensiones" dataDxfId="261" totalsRowDxfId="260"/>
    <tableColumn id="5" xr3:uid="{356BF094-B79B-4302-BDF3-4F8FBF96C06C}" name="Unidad de Venta" dataDxfId="259" totalsRowDxfId="258"/>
    <tableColumn id="6" xr3:uid="{4E5488AC-B4E5-4B73-A930-9408682673BE}" name="Presentación" dataDxfId="257" totalsRowDxfId="256"/>
    <tableColumn id="4" xr3:uid="{C0AA2B80-BDD4-470E-BF4D-2CA5EECE56F8}" name="Precio PVP" dataDxfId="255" totalsRowDxfId="254" dataCellStyle="Moneda"/>
    <tableColumn id="8" xr3:uid="{44FFE2C7-029F-4DA0-954F-0C0539283E77}" name="Columna1" dataDxfId="253" totalsRowDxfId="252">
      <calculatedColumnFormula>+MID(ListaPreciosProductos71331[[#This Row],[Precio PVP]],1,5)</calculatedColumnFormula>
    </tableColumn>
    <tableColumn id="9" xr3:uid="{97F32A08-3A94-48B7-A95D-E7015FFBC5D5}" name="Columna2" dataDxfId="251" totalsRowDxfId="250" dataCellStyle="Moneda"/>
    <tableColumn id="10" xr3:uid="{3CFE9F94-2632-48A9-B353-4A0652705C6E}" name="Descuento2" dataDxfId="249" totalsRowDxfId="248" dataCellStyle="Porcentaje">
      <calculatedColumnFormula>+$H$7</calculatedColumnFormula>
    </tableColumn>
    <tableColumn id="11" xr3:uid="{E0A0FD44-CB60-4395-B93C-AA15805C01E1}" name="Precio Neto" dataDxfId="247" totalsRowDxfId="246" dataCellStyle="Moneda">
      <calculatedColumnFormula>+ROUND(ListaPreciosProductos71331[[#This Row],[Columna1]]*(1-ListaPreciosProductos71331[[#This Row],[Descuento2]]),2)</calculatedColumnFormula>
    </tableColumn>
    <tableColumn id="12" xr3:uid="{5C0A324A-4BA0-4553-9DAF-2CCB4BF1DF56}" name="Precio Neto2" dataDxfId="245" totalsRowDxfId="244" dataCellStyle="Moneda">
      <calculatedColumnFormula>+ListaPreciosProductos71331[[#This Row],[Precio Neto]]&amp;" "&amp;ListaPreciosProductos71331[[#This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F762F74-B3FB-43ED-A673-B441DDD52500}" name="ListaPreciosProductos781432" displayName="ListaPreciosProductos781432" ref="B156:M159" headerRowDxfId="243" dataDxfId="242">
  <autoFilter ref="B156:M159" xr:uid="{F274C4DC-9C33-46BF-843D-4D60CBFEFA6A}"/>
  <tableColumns count="12">
    <tableColumn id="1" xr3:uid="{7654BE10-8AD2-4258-AB5A-F1878DCEEF5F}" name="Referencia" totalsRowLabel="Total" dataDxfId="241" totalsRowDxfId="240"/>
    <tableColumn id="2" xr3:uid="{B847424B-C870-4393-B375-5A24767A5F8A}" name="Nombre" dataDxfId="239" totalsRowDxfId="238"/>
    <tableColumn id="3" xr3:uid="{89D62E6E-696B-4AA0-8059-5282FE0B3A3F}" name="Descripción" dataDxfId="237" totalsRowDxfId="236"/>
    <tableColumn id="7" xr3:uid="{9B715436-EF1B-4270-A234-8E2A8176A727}" name="Dimensiones" dataDxfId="235" totalsRowDxfId="234"/>
    <tableColumn id="5" xr3:uid="{EFEFA2C0-EBB3-4E70-B48B-540B58F6AAB6}" name="Unidad de Venta" dataDxfId="233" totalsRowDxfId="232"/>
    <tableColumn id="6" xr3:uid="{ECF109B5-8DA8-40D7-9007-9EED10003E63}" name="Presentación" dataDxfId="231" totalsRowDxfId="230"/>
    <tableColumn id="4" xr3:uid="{47D93F45-FBB5-467F-8899-EFCB3EBB0197}" name="Precio PVP" dataDxfId="229" totalsRowDxfId="228" dataCellStyle="Moneda"/>
    <tableColumn id="8" xr3:uid="{61785C7D-573B-4FD9-824C-410D7C58CEC6}" name="Columna1" dataDxfId="227" totalsRowDxfId="226">
      <calculatedColumnFormula>+MID(ListaPreciosProductos781432[[#This Row],[Precio PVP]],1,5)</calculatedColumnFormula>
    </tableColumn>
    <tableColumn id="9" xr3:uid="{8761CD99-21DA-4AF0-8DF3-910DFA8CF94A}" name="Columna2" dataDxfId="225" totalsRowDxfId="224" dataCellStyle="Moneda"/>
    <tableColumn id="10" xr3:uid="{4FF28466-0617-47F5-B82D-CF3708721FE9}" name="Descuento2" dataDxfId="223" totalsRowDxfId="222" dataCellStyle="Moneda">
      <calculatedColumnFormula>+$H$7</calculatedColumnFormula>
    </tableColumn>
    <tableColumn id="11" xr3:uid="{EE93DBD8-922C-4346-80F1-D35CB35BC481}" name="Precio Neto" dataDxfId="221" totalsRowDxfId="220" dataCellStyle="Moneda">
      <calculatedColumnFormula>+ROUND(ListaPreciosProductos781432[[#This Row],[Columna1]]*(1-ListaPreciosProductos781432[[#This Row],[Descuento2]]),2)</calculatedColumnFormula>
    </tableColumn>
    <tableColumn id="12" xr3:uid="{60BD037B-1119-4117-8794-FD48F413B1FB}" name="Precio Neto2" dataDxfId="219" totalsRowDxfId="218" dataCellStyle="Moneda">
      <calculatedColumnFormula>+ListaPreciosProductos781432[[#This Row],[Precio Neto]]&amp;" "&amp;ListaPreciosProductos781432[[#This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A644DAB-8B4B-48E8-81F8-9DD8CA17EBE6}" name="ListaPreciosProductos7891533" displayName="ListaPreciosProductos7891533" ref="B171:M175" headerRowDxfId="217" dataDxfId="216">
  <autoFilter ref="B171:M175" xr:uid="{3BC84DBB-F3A0-4881-BD2A-022FA3925E6D}"/>
  <tableColumns count="12">
    <tableColumn id="1" xr3:uid="{2F2D05DC-62FF-4F17-8DCB-ADE8C21DD012}" name="Referencia" totalsRowLabel="Total" dataDxfId="215" totalsRowDxfId="214"/>
    <tableColumn id="2" xr3:uid="{40D18F73-22E0-4492-BAB8-05CB45130AC7}" name="Nombre" dataDxfId="213" totalsRowDxfId="212"/>
    <tableColumn id="3" xr3:uid="{B8FBFBFE-DF0A-430F-AF23-89CEC1656B1B}" name="Descripción" dataDxfId="211" totalsRowDxfId="210"/>
    <tableColumn id="7" xr3:uid="{332FFF8F-B390-488D-882A-536D159B46B2}" name="Dimensiones" dataDxfId="209" totalsRowDxfId="208"/>
    <tableColumn id="5" xr3:uid="{4CA11C0B-E57A-4916-A8F8-605516BA818B}" name="Unidad de Venta" dataDxfId="207" totalsRowDxfId="206"/>
    <tableColumn id="6" xr3:uid="{60FD3C0E-763F-4FAD-8B3F-A83DF852AD81}" name="Presentación" dataDxfId="205" totalsRowDxfId="204"/>
    <tableColumn id="4" xr3:uid="{04CED645-DF06-4DF9-BB3C-458EF49800B6}" name="Precio PVP" dataDxfId="203" totalsRowDxfId="202" dataCellStyle="Moneda"/>
    <tableColumn id="8" xr3:uid="{3A587879-8674-430B-995F-ED577646A8AB}" name="Columna1" dataDxfId="201" totalsRowDxfId="200">
      <calculatedColumnFormula>+MID(ListaPreciosProductos7891533[[#This Row],[Precio PVP]],1,5)</calculatedColumnFormula>
    </tableColumn>
    <tableColumn id="9" xr3:uid="{F68F9369-8D80-41AF-BBA5-C6CD10571485}" name="Columna2" dataDxfId="199" dataCellStyle="Moneda"/>
    <tableColumn id="10" xr3:uid="{507C6B77-E249-4ACA-ADB6-5080D59E3B4F}" name="Descuento2" dataDxfId="198" dataCellStyle="Porcentaje">
      <calculatedColumnFormula>+$H$7</calculatedColumnFormula>
    </tableColumn>
    <tableColumn id="11" xr3:uid="{9D5A02DA-3654-40ED-846F-6D1AEE2D37E9}" name="Precio Neto" dataDxfId="197" dataCellStyle="Moneda">
      <calculatedColumnFormula>+ROUND(ListaPreciosProductos418[[#This Row],[Columna1]]*(1-ListaPreciosProductos418[[#This Row],[Descuento2]]),2)</calculatedColumnFormula>
    </tableColumn>
    <tableColumn id="12" xr3:uid="{8C2E344C-F1E4-4B66-BC9B-392C34974C0E}" name="Precio Neto2" dataDxfId="196" dataCellStyle="Moneda">
      <calculatedColumnFormula>+ListaPreciosProductos418[[#This Row],[Precio Neto]]&amp;" "&amp;ListaPreciosProductos418[[#This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576B8BB-0ECF-45CE-9B78-3A6826B46E8E}" name="ListaPreciosProductos789151734" displayName="ListaPreciosProductos789151734" ref="B178:M182" headerRowDxfId="195" dataDxfId="194">
  <autoFilter ref="B178:M182" xr:uid="{161CA2C5-B7DB-4F4F-B9A2-243AC8E452FD}"/>
  <tableColumns count="12">
    <tableColumn id="1" xr3:uid="{79E7DF91-97EF-4FB2-9DB7-36872D3E2951}" name="Referencia" totalsRowLabel="Total" dataDxfId="193" totalsRowDxfId="192"/>
    <tableColumn id="2" xr3:uid="{98C9E707-753D-454C-A452-69FA982A417E}" name="Nombre" dataDxfId="191" totalsRowDxfId="190"/>
    <tableColumn id="3" xr3:uid="{30443503-153E-40F6-AEED-D859CC9F2CC9}" name="Descripción" dataDxfId="189" totalsRowDxfId="188"/>
    <tableColumn id="7" xr3:uid="{BD48927D-2A39-4B89-B0B6-F16787813CF8}" name="Dimensiones" dataDxfId="187" totalsRowDxfId="186"/>
    <tableColumn id="5" xr3:uid="{3C564EBD-8CBA-4F22-A327-103582916C98}" name="Unidad de Venta" dataDxfId="185" totalsRowDxfId="184"/>
    <tableColumn id="6" xr3:uid="{6B50933E-9771-4E5C-97AD-8EC5BEF09614}" name="Presentación" dataDxfId="183" totalsRowDxfId="182"/>
    <tableColumn id="4" xr3:uid="{F59F39DA-58F2-4093-9916-2288E34CEB05}" name="Precio PVP" dataDxfId="181" totalsRowDxfId="180" dataCellStyle="Moneda"/>
    <tableColumn id="8" xr3:uid="{C1170493-861A-40C9-B048-3F616830EBBF}" name="Columna1" dataDxfId="179" totalsRowDxfId="178">
      <calculatedColumnFormula>+MID(ListaPreciosProductos789151734[[#This Row],[Precio PVP]],1,5)</calculatedColumnFormula>
    </tableColumn>
    <tableColumn id="9" xr3:uid="{8E0C4C67-2C61-4300-B054-BBB9AA98B4F5}" name="Columna2" dataDxfId="177" totalsRowDxfId="176">
      <calculatedColumnFormula>ListaPreciosProductos789151734[[#This Row],[Columna1]]*0.57</calculatedColumnFormula>
    </tableColumn>
    <tableColumn id="10" xr3:uid="{A6EA6D3A-D807-40AA-9EEE-9EEBD9255108}" name="Descuento2" dataDxfId="175" totalsRowDxfId="174">
      <calculatedColumnFormula>+$H$7</calculatedColumnFormula>
    </tableColumn>
    <tableColumn id="11" xr3:uid="{FB483FD7-8BB8-4B05-BEE4-E657166DC689}" name="Precio Neto" dataDxfId="173" totalsRowDxfId="172">
      <calculatedColumnFormula>+ROUND(ListaPreciosProductos789151734[[#This Row],[Columna1]]*(1-ListaPreciosProductos789151734[[#This Row],[Descuento2]]),2)</calculatedColumnFormula>
    </tableColumn>
    <tableColumn id="12" xr3:uid="{78E633F5-5C16-4C3C-AD9E-FBE513A000B5}" name="Precio Neto2" dataDxfId="171" totalsRowDxfId="170">
      <calculatedColumnFormula>+ListaPreciosProductos789151734[[#This Row],[Precio Neto]]&amp;" "&amp;ListaPreciosProductos789151734[[#This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1988E1-5585-46C5-9137-C18A986FAE07}" name="ListaPreciosProductos78915171935" displayName="ListaPreciosProductos78915171935" ref="B190:M195" headerRowDxfId="169" dataDxfId="168">
  <autoFilter ref="B190:M195" xr:uid="{A4D317CB-4909-449C-AC61-777ACFEA67DD}"/>
  <tableColumns count="12">
    <tableColumn id="1" xr3:uid="{75EC6847-2BA3-450E-831E-DA8DD708073D}" name="Referencia" totalsRowLabel="Total" dataDxfId="167" totalsRowDxfId="166"/>
    <tableColumn id="2" xr3:uid="{27923155-AD3E-419F-9E4C-D9FD9291EFDC}" name="Nombre" dataDxfId="165" totalsRowDxfId="164"/>
    <tableColumn id="3" xr3:uid="{DC6FD238-5E95-4A31-BA3F-E3E22F9469D2}" name="Descripción" dataDxfId="163" totalsRowDxfId="162"/>
    <tableColumn id="7" xr3:uid="{73C29301-72B6-42B2-A67F-271F424146CD}" name="Dimensiones" dataDxfId="161" totalsRowDxfId="160"/>
    <tableColumn id="5" xr3:uid="{4794A88B-4E61-4215-A3C1-A37F706744EB}" name="Unidad de Venta" dataDxfId="159" totalsRowDxfId="158"/>
    <tableColumn id="6" xr3:uid="{1BB4FA66-7CF5-4602-8990-F7DBD4A18031}" name="Presentación" dataDxfId="157" totalsRowDxfId="156"/>
    <tableColumn id="4" xr3:uid="{8AC12D78-D51A-4D72-A769-D1FBE341BC58}" name="Precio PVP" dataDxfId="155" totalsRowDxfId="154" dataCellStyle="Moneda"/>
    <tableColumn id="8" xr3:uid="{02ED8EF2-F694-4FB6-B261-4F56B544F0D5}" name="Columna1" dataDxfId="153" totalsRowDxfId="152">
      <calculatedColumnFormula>+MID(ListaPreciosProductos78915171935[[#This Row],[Precio PVP]],1,5)</calculatedColumnFormula>
    </tableColumn>
    <tableColumn id="9" xr3:uid="{1A452BB7-06E2-49C2-8A6C-34E799741288}" name="Columna2" dataDxfId="151" totalsRowDxfId="150" dataCellStyle="Moneda"/>
    <tableColumn id="10" xr3:uid="{27D1FB47-E205-4EC7-9C8F-6E0814B94B54}" name="Descuento2" dataDxfId="149" totalsRowDxfId="148">
      <calculatedColumnFormula>+$H$7</calculatedColumnFormula>
    </tableColumn>
    <tableColumn id="11" xr3:uid="{91474A47-E678-4A1B-85F2-7D7BC70EA877}" name="Precio Neto" dataDxfId="147" totalsRowDxfId="146">
      <calculatedColumnFormula>+ROUND(ListaPreciosProductos78915171935[[#This Row],[Columna1]]*(1-ListaPreciosProductos78915171935[[#This Row],[Descuento2]]),2)</calculatedColumnFormula>
    </tableColumn>
    <tableColumn id="12" xr3:uid="{9B1A48EB-94EA-43BD-B6E6-C072414EAFD0}" name="Precio Neto2" dataDxfId="145" totalsRowDxfId="144">
      <calculatedColumnFormula>+ListaPreciosProductos78915171935[[#This Row],[Precio Neto]]&amp;" "&amp;ListaPreciosProductos78915171935[[#This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0D8272D-D610-4C0B-B6F3-B114DBD151F3}" name="ListaPreciosProductos78142036" displayName="ListaPreciosProductos78142036" ref="B163:M168" headerRowDxfId="143" dataDxfId="142">
  <autoFilter ref="B163:M168" xr:uid="{670D4806-A493-481C-BFA6-7F20A1141BBA}"/>
  <tableColumns count="12">
    <tableColumn id="1" xr3:uid="{B81C77CE-6419-40A1-A6DD-7C3BB42EA969}" name="Referencia" totalsRowLabel="Total" dataDxfId="141" totalsRowDxfId="140"/>
    <tableColumn id="2" xr3:uid="{2F60E2F5-3C73-4C0F-BD79-0CFD6C515305}" name="Nombre" dataDxfId="139" totalsRowDxfId="138"/>
    <tableColumn id="3" xr3:uid="{0C64BC59-93FA-4D15-95CF-67E62A4C4A9B}" name="Descripción" dataDxfId="137" totalsRowDxfId="136"/>
    <tableColumn id="7" xr3:uid="{082E113B-88CB-4E3C-8FCF-F90D954810A4}" name="Dimensiones" dataDxfId="135" totalsRowDxfId="134"/>
    <tableColumn id="5" xr3:uid="{1D54C193-E571-4137-9572-C22CA678741F}" name="Unidad de Venta" dataDxfId="133" totalsRowDxfId="132"/>
    <tableColumn id="6" xr3:uid="{43CC0B8C-B008-478C-B5B9-2B3C92859766}" name="Presentación" dataDxfId="131" totalsRowDxfId="130"/>
    <tableColumn id="4" xr3:uid="{080ACA43-93A3-4C99-9A68-828D3B235A40}" name="Precio PVP" dataDxfId="129" totalsRowDxfId="128" dataCellStyle="Moneda"/>
    <tableColumn id="8" xr3:uid="{71F7A86C-D903-4D0A-89C8-ADF550D413FB}" name="Columna1" dataDxfId="127" totalsRowDxfId="126">
      <calculatedColumnFormula>+MID(ListaPreciosProductos78142036[[#This Row],[Precio PVP]],1,5)</calculatedColumnFormula>
    </tableColumn>
    <tableColumn id="9" xr3:uid="{DA1F61C3-BE21-490F-B445-84CB60541645}" name="Columna2" dataDxfId="125" totalsRowDxfId="124" dataCellStyle="Moneda">
      <calculatedColumnFormula>ListaPreciosProductos78142036[[#This Row],[Columna1]]*0.57</calculatedColumnFormula>
    </tableColumn>
    <tableColumn id="10" xr3:uid="{98708B90-6F70-46A8-8827-C9583F218609}" name="Descuento2" dataDxfId="123" totalsRowDxfId="122" dataCellStyle="Porcentaje">
      <calculatedColumnFormula>+$H$7</calculatedColumnFormula>
    </tableColumn>
    <tableColumn id="11" xr3:uid="{31F5239F-A52F-493E-B41D-F92D860ABA04}" name="Precio Neto" dataDxfId="121" totalsRowDxfId="120" dataCellStyle="Moneda">
      <calculatedColumnFormula>+ROUND(ListaPreciosProductos78142036[[#This Row],[Columna1]]*(1-ListaPreciosProductos78142036[[#This Row],[Descuento2]]),2)</calculatedColumnFormula>
    </tableColumn>
    <tableColumn id="12" xr3:uid="{1A830A16-3785-4B2F-8E99-A70232AA6A8A}" name="Precio Neto2" dataDxfId="119" totalsRowDxfId="118" dataCellStyle="Moneda">
      <calculatedColumnFormula>+ListaPreciosProductos78142036[[#This Row],[Precio Neto]]&amp;" "&amp;ListaPreciosProductos78142036[[#This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7044837-DD0B-4550-B0C4-18CE884B35D9}" name="ListaPreciosProductos7891517192137" displayName="ListaPreciosProductos7891517192137" ref="B199:M205" headerRowDxfId="117" dataDxfId="116">
  <autoFilter ref="B199:M205" xr:uid="{CDD8C0F6-35F5-479A-B1E5-66CFF7D95194}"/>
  <tableColumns count="12">
    <tableColumn id="1" xr3:uid="{EFFEF9DF-6ECD-4962-B31C-DFE02A94CE67}" name="Referencia" totalsRowLabel="Total" dataDxfId="115" totalsRowDxfId="114"/>
    <tableColumn id="2" xr3:uid="{951AB195-C82D-480E-846D-48E4FF0F874A}" name="Nombre" dataDxfId="113" totalsRowDxfId="112"/>
    <tableColumn id="3" xr3:uid="{9BE34838-B64C-4ABE-BC0D-E438B4334C40}" name="Descripción" dataDxfId="111" totalsRowDxfId="110"/>
    <tableColumn id="7" xr3:uid="{AF0D62F0-40AB-40E8-AF8A-60BAEAB1B289}" name="Dimensiones" dataDxfId="109" totalsRowDxfId="108"/>
    <tableColumn id="5" xr3:uid="{0C0A012C-40C7-455D-B411-6C012C93D732}" name="Unidad de Venta" dataDxfId="107" totalsRowDxfId="106"/>
    <tableColumn id="6" xr3:uid="{7DFB8C28-8239-478D-9117-CAE000E2A023}" name="Presentación" dataDxfId="105" totalsRowDxfId="104"/>
    <tableColumn id="4" xr3:uid="{1FAD5A18-99BB-409F-84F5-40E45C90D1D0}" name="Precio PVP" dataDxfId="103" totalsRowDxfId="102" dataCellStyle="Moneda"/>
    <tableColumn id="8" xr3:uid="{D70881EC-004A-4E52-B492-35CB85A4BE50}" name="Columna1" dataDxfId="101" totalsRowDxfId="100">
      <calculatedColumnFormula>+MID(ListaPreciosProductos7891517192137[[#This Row],[Precio PVP]],1,5)</calculatedColumnFormula>
    </tableColumn>
    <tableColumn id="9" xr3:uid="{F6AF1F32-1256-4E70-B17A-D5C9DC0EDF64}" name="Columna2" dataDxfId="99" totalsRowDxfId="98" dataCellStyle="Moneda"/>
    <tableColumn id="10" xr3:uid="{D4CEBF1D-A808-44E2-81DD-5ACBEB95C79E}" name="Descuento2" dataDxfId="97" totalsRowDxfId="96" dataCellStyle="Porcentaje">
      <calculatedColumnFormula>+$H$7</calculatedColumnFormula>
    </tableColumn>
    <tableColumn id="11" xr3:uid="{8A657A02-B6D7-4937-9B14-2FF2DFDBA4D0}" name="Precio Neto" dataDxfId="95" totalsRowDxfId="94" dataCellStyle="Moneda">
      <calculatedColumnFormula>+ROUND(ListaPreciosProductos7891517192137[[#This Row],[Columna1]]*(1-ListaPreciosProductos7891517192137[[#This Row],[Descuento2]]),2)</calculatedColumnFormula>
    </tableColumn>
    <tableColumn id="12" xr3:uid="{2D3E31A3-E45F-4AF7-980C-EEF399595D55}" name="Precio Neto2" dataDxfId="93" totalsRowDxfId="92" dataCellStyle="Moneda">
      <calculatedColumnFormula>+ListaPreciosProductos7891517192137[[#This Row],[Precio Neto]]&amp;" "&amp;ListaPreciosProductos7891517192137[[#This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0AD4E5C-2A51-43F6-8B14-8814D1A1E4C4}" name="ListaPreciosProductos789151719212238" displayName="ListaPreciosProductos789151719212238" ref="B244:M255" headerRowDxfId="91" dataDxfId="90">
  <autoFilter ref="B244:M255" xr:uid="{462C7D5D-A24C-4FFF-9A6A-A291E22B83A6}"/>
  <tableColumns count="12">
    <tableColumn id="1" xr3:uid="{D92CBE53-366C-4CEB-A05B-415E93C37AF1}" name="Referencia" totalsRowLabel="Total" dataDxfId="89" totalsRowDxfId="88"/>
    <tableColumn id="2" xr3:uid="{5B2335E1-55BF-4D23-91D6-9682AF0FECE3}" name="Nombre" dataDxfId="87" totalsRowDxfId="86"/>
    <tableColumn id="3" xr3:uid="{DFFF6D42-B60D-4E97-ADD6-D8EB53559321}" name="Descripción" dataDxfId="85" totalsRowDxfId="84"/>
    <tableColumn id="7" xr3:uid="{23CB6CF6-2389-474E-BAEF-F7E035305D4C}" name="Dimensiones" dataDxfId="83" totalsRowDxfId="82"/>
    <tableColumn id="5" xr3:uid="{63179DED-B985-4C92-9613-5E768428D381}" name="Unidad de Venta" dataDxfId="81" totalsRowDxfId="80"/>
    <tableColumn id="6" xr3:uid="{4A881B73-7884-4C13-85FD-0FA2AB291975}" name="Presentación" dataDxfId="79" totalsRowDxfId="78"/>
    <tableColumn id="4" xr3:uid="{81504948-F0A9-43B7-AE28-22C30A5397A5}" name="Precio PVP" dataDxfId="77" totalsRowDxfId="76" dataCellStyle="Moneda"/>
    <tableColumn id="8" xr3:uid="{9CE4552A-905F-4586-ACCE-26CDFCD2B7BD}" name="Columna1" dataDxfId="75" totalsRowDxfId="74">
      <calculatedColumnFormula>+MID(ListaPreciosProductos789151719212238[[#This Row],[Precio PVP]],1,5)</calculatedColumnFormula>
    </tableColumn>
    <tableColumn id="9" xr3:uid="{ACEE88CA-C978-49FB-8619-E3406784E0E9}" name="Columna2" dataDxfId="73" totalsRowDxfId="72" dataCellStyle="Moneda">
      <calculatedColumnFormula>ListaPreciosProductos789151719212238[[#This Row],[Columna1]]*0.57</calculatedColumnFormula>
    </tableColumn>
    <tableColumn id="10" xr3:uid="{C0BAAB71-C751-4269-95FD-2B6020523BC3}" name="Descuento2" dataDxfId="71" totalsRowDxfId="70" dataCellStyle="Moneda">
      <calculatedColumnFormula>+$H$7</calculatedColumnFormula>
    </tableColumn>
    <tableColumn id="11" xr3:uid="{E8BC0E40-50D4-4F2E-A349-F610150BABBC}" name="Precio Neto" dataDxfId="69" totalsRowDxfId="68" dataCellStyle="Moneda">
      <calculatedColumnFormula>+ROUND(ListaPreciosProductos789151719212238[[#This Row],[Columna1]]*(1-ListaPreciosProductos789151719212238[[#This Row],[Descuento2]]),2)</calculatedColumnFormula>
    </tableColumn>
    <tableColumn id="12" xr3:uid="{7290536C-9E01-41CF-9375-E6F9D9C7DA98}" name="Precio Neto2" dataDxfId="67" totalsRowDxfId="66" dataCellStyle="Moneda">
      <calculatedColumnFormula>+ListaPreciosProductos789151719212238[[#This Row],[Precio Neto]]&amp;" "&amp;ListaPreciosProductos789151719212238[[#This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E367534-7558-44E8-94FE-C3293857CBD8}" name="ListaPreciosProductos1639" displayName="ListaPreciosProductos1639" ref="B13:M19" headerRowDxfId="65" dataDxfId="64">
  <autoFilter ref="B13:M19" xr:uid="{10AA4DC3-14D4-4259-A570-9F3968F65114}"/>
  <tableColumns count="12">
    <tableColumn id="1" xr3:uid="{598533FC-19C2-4FD2-BF04-C3C9E764CCB5}" name="Referencia" totalsRowLabel="Total" dataDxfId="63"/>
    <tableColumn id="2" xr3:uid="{69599904-2733-415D-9640-10349BC6C1BE}" name="Nombre" dataDxfId="62"/>
    <tableColumn id="3" xr3:uid="{D84272D2-FCD4-4AB8-9E97-9B9C7E9923E1}" name="Descripción" dataDxfId="61"/>
    <tableColumn id="7" xr3:uid="{A7DCAC22-FD90-4528-BCD8-DAD13E6354C1}" name="Dimensiones" dataDxfId="60"/>
    <tableColumn id="5" xr3:uid="{7DBD89B1-ECFB-472A-8093-03C14AA3F219}" name="Unidad de Venta" dataDxfId="59"/>
    <tableColumn id="6" xr3:uid="{46A32208-CE72-4B9F-ADD1-0CACF1F4614D}" name="Presentación" dataDxfId="58"/>
    <tableColumn id="4" xr3:uid="{B23F6471-941E-43DE-856F-4C205F871137}" name="Precio PVP" dataDxfId="57" dataCellStyle="Moneda"/>
    <tableColumn id="12" xr3:uid="{E2B83035-7168-4034-9993-5963594A7DDA}" name="Columna1" dataDxfId="56" dataCellStyle="Moneda">
      <calculatedColumnFormula>+MID(ListaPreciosProductos1639[[#This Row],[Precio PVP]],1,4)</calculatedColumnFormula>
    </tableColumn>
    <tableColumn id="8" xr3:uid="{DFB30A85-89D8-491D-9969-D65A0B5F5AE8}" name="Columna2" dataDxfId="55" dataCellStyle="Moneda">
      <calculatedColumnFormula>+ListaPreciosProductos1639[[#This Row],[Columna1]]*0.57</calculatedColumnFormula>
    </tableColumn>
    <tableColumn id="9" xr3:uid="{EB8C1C2F-988E-4518-B05B-D45112FFBADE}" name="Descuento2" dataDxfId="54" dataCellStyle="Porcentaje">
      <calculatedColumnFormula>+$H$7</calculatedColumnFormula>
    </tableColumn>
    <tableColumn id="10" xr3:uid="{A9A2DCEF-1A65-4064-9771-718F8DC02DA1}" name="Precio Neto" dataDxfId="53" dataCellStyle="Moneda">
      <calculatedColumnFormula>+ROUND(ListaPreciosProductos1639[[#This Row],[Columna1]]*(1-ListaPreciosProductos1639[[#This Row],[Descuento2]]),2)</calculatedColumnFormula>
    </tableColumn>
    <tableColumn id="11" xr3:uid="{B1FDD97E-4FC9-4F52-8C0F-C36294D67FEE}" name="Precio Neto2" dataDxfId="52" dataCellStyle="Moneda">
      <calculatedColumnFormula>+ListaPreciosProductos1639[[#This Row],[Precio Neto]]&amp;" "&amp;ListaPreciosProductos1639[[#This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9B02258-A933-4124-A895-DDF018F52294}" name="ListaPreciosProductos323" displayName="ListaPreciosProductos323" ref="B31:M35" headerRowDxfId="51" dataDxfId="50">
  <autoFilter ref="B31:M35" xr:uid="{CE60A3E5-B50A-430E-81EB-36D998BEFC2F}"/>
  <sortState xmlns:xlrd2="http://schemas.microsoft.com/office/spreadsheetml/2017/richdata2" ref="B32:H35">
    <sortCondition ref="B22:B28"/>
  </sortState>
  <tableColumns count="12">
    <tableColumn id="1" xr3:uid="{D7F0ECDC-0081-41CA-81CA-7506988415F5}" name="Referencia" totalsRowLabel="Total" dataDxfId="49" totalsRowDxfId="48"/>
    <tableColumn id="2" xr3:uid="{BB8F3708-3ECB-47E0-9898-E9764225E29B}" name="Nombre" dataDxfId="47" totalsRowDxfId="46"/>
    <tableColumn id="3" xr3:uid="{25D5E77E-EA34-402F-8274-42CDE5DAEF03}" name="Descripción" dataDxfId="45" totalsRowDxfId="44"/>
    <tableColumn id="7" xr3:uid="{1C809FCD-B05E-429A-8674-34171371FB66}" name="Dimensiones" dataDxfId="43" totalsRowDxfId="42"/>
    <tableColumn id="5" xr3:uid="{42434369-430F-4E17-A455-4A079375825C}" name="Unidad de Venta" dataDxfId="41" totalsRowDxfId="40"/>
    <tableColumn id="6" xr3:uid="{915FBFA3-171B-41C6-A85E-CCECF994ACC5}" name="Presentación" dataDxfId="39" totalsRowDxfId="38"/>
    <tableColumn id="4" xr3:uid="{98BBE0F2-F2C7-455A-ABBD-0BA449FAB3FA}" name="Precio PVP" dataDxfId="37" totalsRowDxfId="36" dataCellStyle="Moneda"/>
    <tableColumn id="8" xr3:uid="{F8A4FA0A-DDE8-4AFF-AA02-01112E3A843D}" name="Columna1" dataDxfId="35" totalsRowDxfId="34">
      <calculatedColumnFormula>+MID(ListaPreciosProductos323[[#This Row],[Precio PVP]],1,5)</calculatedColumnFormula>
    </tableColumn>
    <tableColumn id="9" xr3:uid="{BDE7A2C2-48C4-481E-9A64-EFA346DDC16B}" name="Columna2" dataDxfId="33" totalsRowDxfId="32" dataCellStyle="Moneda">
      <calculatedColumnFormula>ListaPreciosProductos323[[#This Row],[Columna1]]*0.57</calculatedColumnFormula>
    </tableColumn>
    <tableColumn id="10" xr3:uid="{D61D136F-DA2C-48FB-BC23-4825A977C133}" name="Descuento2" dataDxfId="31" totalsRowDxfId="30" dataCellStyle="Moneda">
      <calculatedColumnFormula>+$H$7</calculatedColumnFormula>
    </tableColumn>
    <tableColumn id="11" xr3:uid="{F5F41A37-0178-42F4-A7C2-95A86856267F}" name="Precio Neto" dataDxfId="29" totalsRowDxfId="28" dataCellStyle="Moneda">
      <calculatedColumnFormula>+ROUND(ListaPreciosProductos323[[#This Row],[Columna1]]*(1-ListaPreciosProductos323[[#This Row],[Descuento2]]),2)</calculatedColumnFormula>
    </tableColumn>
    <tableColumn id="12" xr3:uid="{070CC412-529F-4972-B9B8-B931879741B2}" name="Precio Neto2" dataDxfId="27" totalsRowDxfId="26" dataCellStyle="Moneda">
      <calculatedColumnFormula>+ListaPreciosProductos323[[#This Row],[Precio Neto]]&amp;" "&amp;ListaPreciosProductos323[[#This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760B3F-30A0-452C-A103-C2C7F5348B36}" name="ListaPreciosProductos418" displayName="ListaPreciosProductos418" ref="B52:M65" headerRowDxfId="463" dataDxfId="462">
  <autoFilter ref="B52:M65" xr:uid="{E19A7A51-81EC-4A39-B80D-F0524D2C2816}"/>
  <tableColumns count="12">
    <tableColumn id="1" xr3:uid="{35BEE000-193F-4ED9-9AC4-A01DDF3C3F87}" name="Referencia" totalsRowLabel="Total" dataDxfId="461" totalsRowDxfId="460"/>
    <tableColumn id="2" xr3:uid="{7177A83A-0E98-457E-B406-0B39FDD10060}" name="Nombre" dataDxfId="459" totalsRowDxfId="458"/>
    <tableColumn id="3" xr3:uid="{5D11B510-5F3A-4107-A0DE-A9670D7FB6DD}" name="Descripción" dataDxfId="457" totalsRowDxfId="456"/>
    <tableColumn id="7" xr3:uid="{E9CC8366-381C-4ADB-88D1-E522C66E56D7}" name="Dimensiones" dataDxfId="455" totalsRowDxfId="454"/>
    <tableColumn id="5" xr3:uid="{BD341BFE-C68A-4657-A6BD-608574E4D4CB}" name="Unidad de Venta" dataDxfId="453" totalsRowDxfId="452"/>
    <tableColumn id="6" xr3:uid="{41EB3E60-801F-414C-92D5-B0D3A34148B5}" name="Presentación" dataDxfId="451" totalsRowDxfId="450"/>
    <tableColumn id="4" xr3:uid="{E03FAB14-DB86-45A6-A1CD-1FAD0CDE634A}" name="Precio PVP" dataDxfId="449" totalsRowDxfId="448" dataCellStyle="Moneda"/>
    <tableColumn id="8" xr3:uid="{984779CA-A5F6-4A51-8A9F-EAA38F5BBD76}" name="Columna1" dataDxfId="447">
      <calculatedColumnFormula>+MID(ListaPreciosProductos418[[#This Row],[Precio PVP]],1,5)</calculatedColumnFormula>
    </tableColumn>
    <tableColumn id="9" xr3:uid="{641AC313-E2C9-4F82-B76F-97C1E4D1DB3B}" name="Columna2" dataDxfId="446" totalsRowDxfId="445">
      <calculatedColumnFormula>+ListaPreciosProductos418[[#This Row],[Columna1]]*0.57</calculatedColumnFormula>
    </tableColumn>
    <tableColumn id="10" xr3:uid="{DDB2F559-F895-4A5B-9D31-F557FF8D07F0}" name="Descuento2" dataDxfId="444" totalsRowDxfId="443" dataCellStyle="Moneda">
      <calculatedColumnFormula>+$H$7</calculatedColumnFormula>
    </tableColumn>
    <tableColumn id="11" xr3:uid="{C82AB543-3183-40AB-9BC1-009BBC13A262}" name="Precio Neto" dataDxfId="442" dataCellStyle="Moneda">
      <calculatedColumnFormula>+ROUND(ListaPreciosProductos418[[#This Row],[Columna1]]*(1-ListaPreciosProductos418[[#This Row],[Descuento2]]),2)</calculatedColumnFormula>
    </tableColumn>
    <tableColumn id="12" xr3:uid="{98E8A744-1E19-4BA1-9DE2-496221C61E12}" name="Precio Neto2" dataDxfId="441" dataCellStyle="Moneda">
      <calculatedColumnFormula>+ListaPreciosProductos418[[#This Row],[Precio Neto]]&amp;" "&amp;ListaPreciosProductos418[[#This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674CD5-E01A-44A3-AD18-381C130BA8B0}" name="ListaPreciosProductos35234" displayName="ListaPreciosProductos35234" ref="B38:M46" headerRowDxfId="25" dataDxfId="24">
  <autoFilter ref="B38:M46" xr:uid="{E834C872-747E-4F7B-8005-154AD0B63855}"/>
  <tableColumns count="12">
    <tableColumn id="1" xr3:uid="{1EACACC9-A829-451C-BFAB-3EE7D8028DED}" name="Referencia" totalsRowLabel="Total" dataDxfId="23" totalsRowDxfId="22"/>
    <tableColumn id="2" xr3:uid="{D8F8BB30-77E3-492A-A39B-BFFFC8AE4220}" name="Nombre" dataDxfId="21" totalsRowDxfId="20"/>
    <tableColumn id="3" xr3:uid="{967AEAE8-5E9A-4AE2-9F9D-94E220789E95}" name="Descripción" dataDxfId="19" totalsRowDxfId="18"/>
    <tableColumn id="7" xr3:uid="{EEA9F84F-D6FE-4AFC-A417-844DDFAF3D46}" name="Dimensiones" dataDxfId="17" totalsRowDxfId="16"/>
    <tableColumn id="5" xr3:uid="{5FB25E98-1103-4675-9F15-8DD3A97D4100}" name="Unidad de Venta" dataDxfId="15" totalsRowDxfId="14"/>
    <tableColumn id="6" xr3:uid="{6AF39135-9C5F-4654-B2A0-5094E1ECD556}" name="Presentación" dataDxfId="13" totalsRowDxfId="12"/>
    <tableColumn id="4" xr3:uid="{0A5286E7-B680-4476-9862-027AA360AAAA}" name="Precio PVP" dataDxfId="11" totalsRowDxfId="10" dataCellStyle="Moneda"/>
    <tableColumn id="8" xr3:uid="{D54BBB7D-2137-4748-832D-3C77575E3CD8}" name="Columna1" dataDxfId="9" totalsRowDxfId="8">
      <calculatedColumnFormula>+MID(ListaPreciosProductos35234[[#This Row],[Precio PVP]],1,5)</calculatedColumnFormula>
    </tableColumn>
    <tableColumn id="9" xr3:uid="{5DB8EDDB-266E-45C8-8CCF-3F1199F9FE13}" name="Columna2" dataDxfId="7" totalsRowDxfId="6" dataCellStyle="Moneda"/>
    <tableColumn id="10" xr3:uid="{1F357393-00BF-47E5-83FF-CF56290767EF}" name="Descuento2" dataDxfId="5" totalsRowDxfId="4" dataCellStyle="Porcentaje">
      <calculatedColumnFormula>+$H$7</calculatedColumnFormula>
    </tableColumn>
    <tableColumn id="11" xr3:uid="{0EEC6E3E-F78E-43E0-847A-EF4F70602434}" name="Precio Neto" dataDxfId="3" totalsRowDxfId="2" dataCellStyle="Moneda">
      <calculatedColumnFormula>+ROUND(ListaPreciosProductos35234[[#This Row],[Columna1]]*(1-ListaPreciosProductos35234[[#This Row],[Descuento2]]),2)</calculatedColumnFormula>
    </tableColumn>
    <tableColumn id="12" xr3:uid="{5F98D430-2F46-467E-99E4-78D3CFE59DE2}" name="Precio Neto2" dataDxfId="1" totalsRowDxfId="0" dataCellStyle="Moneda">
      <calculatedColumnFormula>+ListaPreciosProductos35234[[#This Row],[Precio Neto]]&amp;" "&amp;ListaPreciosProductos35234[[#This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7CA478-F77E-4BCB-A452-A2971D2B156B}" name="ListaPreciosProductos624" displayName="ListaPreciosProductos624" ref="B68:M70" headerRowDxfId="440" dataDxfId="439" totalsRowDxfId="438">
  <autoFilter ref="B68:M70" xr:uid="{8628D63C-1930-4AF3-938F-DE88795BFE2E}"/>
  <tableColumns count="12">
    <tableColumn id="1" xr3:uid="{5D770476-E45F-4ECB-9475-65F9324A108B}" name="Referencia" totalsRowLabel="Total" dataDxfId="437" totalsRowDxfId="436"/>
    <tableColumn id="2" xr3:uid="{1C142406-9D34-4409-8426-5CB86E1E0634}" name="Nombre" dataDxfId="435" totalsRowDxfId="434"/>
    <tableColumn id="3" xr3:uid="{9389F516-4FA4-4266-B80D-21C6AFE607E7}" name="Descripción" dataDxfId="433" totalsRowDxfId="432"/>
    <tableColumn id="7" xr3:uid="{0EC48575-5F1A-4228-AA0B-6C5F80C0FBA7}" name="Dimensiones" dataDxfId="431" totalsRowDxfId="430"/>
    <tableColumn id="5" xr3:uid="{66621DDE-7677-4199-90AB-7DD5BCAFFDB3}" name="Unidad de Venta" dataDxfId="429" totalsRowDxfId="428"/>
    <tableColumn id="6" xr3:uid="{7E9D3B09-6643-4EA5-BD28-5CED6B88CF9F}" name="Presentación" dataDxfId="427" totalsRowDxfId="426"/>
    <tableColumn id="4" xr3:uid="{847EB578-941A-4512-9B70-9B619381592B}" name="Precio PVP" dataDxfId="425" totalsRowDxfId="424" dataCellStyle="Moneda"/>
    <tableColumn id="8" xr3:uid="{5D2EE18B-5649-4EE5-AC61-2DFC3053F61F}" name="Columna1" dataDxfId="423" totalsRowDxfId="422">
      <calculatedColumnFormula>+MID(ListaPreciosProductos624[[#This Row],[Precio PVP]],1,5)</calculatedColumnFormula>
    </tableColumn>
    <tableColumn id="9" xr3:uid="{5A6501A9-D21A-407D-B586-6AE1B5F16415}" name="Columna2" dataDxfId="421" totalsRowDxfId="420" dataCellStyle="Moneda"/>
    <tableColumn id="10" xr3:uid="{DF72FFCE-A463-44DA-AF7F-76736659EA11}" name="Descuento2" dataDxfId="419" totalsRowDxfId="418" dataCellStyle="Porcentaje">
      <calculatedColumnFormula>+$H$7</calculatedColumnFormula>
    </tableColumn>
    <tableColumn id="11" xr3:uid="{64F89661-BD89-410B-B9CE-8867A861EAB5}" name="Precio Neto" dataDxfId="417" totalsRowDxfId="416" dataCellStyle="Moneda">
      <calculatedColumnFormula>+ROUND(ListaPreciosProductos624[[#This Row],[Columna1]]*(1-ListaPreciosProductos624[[#This Row],[Descuento2]]),2)</calculatedColumnFormula>
    </tableColumn>
    <tableColumn id="12" xr3:uid="{C41B4F83-5C68-4B28-9E5D-307F74C4062E}" name="Precio Neto2" dataDxfId="415" totalsRowDxfId="414" dataCellStyle="Moneda">
      <calculatedColumnFormula>+ListaPreciosProductos624[[#This Row],[Precio Neto]]&amp;" "&amp;ListaPreciosProductos624[[#This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6F7D0F-2F8C-4B15-87AB-23DF17D8E452}" name="ListaPreciosProductos725" displayName="ListaPreciosProductos725" ref="B78:M86" headerRowDxfId="413" dataDxfId="412">
  <autoFilter ref="B78:M86" xr:uid="{C9E801DA-6C04-4E65-B04A-3453390F0F76}"/>
  <tableColumns count="12">
    <tableColumn id="1" xr3:uid="{F9617A6F-DFA1-45C7-B74A-B367452FF655}" name="Referencia" totalsRowLabel="Total" dataDxfId="411" totalsRowDxfId="410"/>
    <tableColumn id="2" xr3:uid="{B547FEA1-A629-4818-9BE3-4F53F2A3C359}" name="Nombre" dataDxfId="409" totalsRowDxfId="408"/>
    <tableColumn id="3" xr3:uid="{CC925939-2CFF-4FFF-B8FD-2853A4F27B5C}" name="Descripción" dataDxfId="407" totalsRowDxfId="406"/>
    <tableColumn id="7" xr3:uid="{71E5C3BD-8E7F-47E8-934D-B672B448F2E0}" name="Dimensiones" dataDxfId="405" totalsRowDxfId="404"/>
    <tableColumn id="5" xr3:uid="{D9E7A0CD-A2ED-4901-8009-73784C846DD2}" name="Unidad de Venta" dataDxfId="403" totalsRowDxfId="402"/>
    <tableColumn id="6" xr3:uid="{76181CD8-898D-4B85-AE7A-83DFA6BE5F44}" name="Presentación" dataDxfId="401" totalsRowDxfId="400"/>
    <tableColumn id="4" xr3:uid="{32DC1BD6-89C4-4F96-A2E5-DC9A1AA9371C}" name="Precio PVP" dataDxfId="399" totalsRowDxfId="398" dataCellStyle="Moneda"/>
    <tableColumn id="8" xr3:uid="{2AF74EFA-39B9-4820-A374-ACD4877ED6D6}" name="Columna1" dataDxfId="397" totalsRowDxfId="396">
      <calculatedColumnFormula>+MID(ListaPreciosProductos725[[#This Row],[Precio PVP]],1,5)</calculatedColumnFormula>
    </tableColumn>
    <tableColumn id="9" xr3:uid="{1344D7D2-FB10-46FD-B723-4B4FCB6071C8}" name="Columna2" dataDxfId="395" totalsRowDxfId="394" dataCellStyle="Moneda">
      <calculatedColumnFormula>+ListaPreciosProductos725[[#This Row],[Columna1]]*0.57</calculatedColumnFormula>
    </tableColumn>
    <tableColumn id="10" xr3:uid="{7C52AA74-05D2-43B5-8277-D6080979CCC7}" name="Descuento2" dataDxfId="393" totalsRowDxfId="392" dataCellStyle="Porcentaje">
      <calculatedColumnFormula>+$H$7</calculatedColumnFormula>
    </tableColumn>
    <tableColumn id="11" xr3:uid="{417019D4-7AFE-4A1A-BF5C-5235B0B7D15F}" name="Precio Neto" dataDxfId="391" totalsRowDxfId="390" dataCellStyle="Moneda">
      <calculatedColumnFormula>+ROUND(ListaPreciosProductos725[[#This Row],[Columna1]]*(1-ListaPreciosProductos725[[#This Row],[Descuento2]]),2)</calculatedColumnFormula>
    </tableColumn>
    <tableColumn id="12" xr3:uid="{CFCE2209-CC46-444C-BB72-2D3D253350A3}" name="Precio Neto2" dataDxfId="389" totalsRowDxfId="388" dataCellStyle="Moneda">
      <calculatedColumnFormula>+ListaPreciosProductos725[[#This Row],[Precio Neto]]&amp;" "&amp;ListaPreciosProductos725[[#This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8BB0B33-C404-4380-8296-568B7353248B}" name="ListaPreciosProductos7826" displayName="ListaPreciosProductos7826" ref="B90:M94" headerRowDxfId="387" dataDxfId="386">
  <autoFilter ref="B90:M94" xr:uid="{12FB5580-991E-481D-BCBC-16B88731456A}"/>
  <tableColumns count="12">
    <tableColumn id="1" xr3:uid="{7B4521D3-22D0-4EEF-BF17-F3B2D5B80329}" name="Referencia" totalsRowLabel="Total" dataDxfId="385"/>
    <tableColumn id="2" xr3:uid="{4627C19C-DF7D-4771-82AD-D3788DDF626F}" name="Nombre" dataDxfId="384"/>
    <tableColumn id="3" xr3:uid="{7B01D461-F10D-4ACC-9B5D-F99F3FFF060D}" name="Descripción" dataDxfId="383"/>
    <tableColumn id="7" xr3:uid="{C1D2C65D-EA3B-4666-B975-3C8E73AF9AB8}" name="Dimensiones" dataDxfId="382"/>
    <tableColumn id="5" xr3:uid="{3D591B44-FAE8-463D-8EFE-4BEEADF25D0E}" name="Unidad de Venta" dataDxfId="381"/>
    <tableColumn id="6" xr3:uid="{F389342F-5C43-4EF1-A68F-5C9F449F9DA5}" name="Presentación" dataDxfId="380"/>
    <tableColumn id="4" xr3:uid="{434855F4-70F4-41F7-93AC-05E170E50626}" name="Precio PVP" dataDxfId="379" dataCellStyle="Moneda"/>
    <tableColumn id="8" xr3:uid="{ACB1E40E-6091-4C79-9871-7BCEBFA9F4AD}" name="Columna1" dataDxfId="378">
      <calculatedColumnFormula>+MID(ListaPreciosProductos7826[[#This Row],[Precio PVP]],1,5)</calculatedColumnFormula>
    </tableColumn>
    <tableColumn id="9" xr3:uid="{706E8AC0-B445-436D-AED2-21421D7BC959}" name="Columna2" dataDxfId="377" dataCellStyle="Moneda">
      <calculatedColumnFormula>ListaPreciosProductos7826[[#This Row],[Columna1]]*0.57</calculatedColumnFormula>
    </tableColumn>
    <tableColumn id="10" xr3:uid="{F230059A-A0C9-4672-8965-1AACAFEC89F7}" name="Descuento2" dataDxfId="376" dataCellStyle="Porcentaje">
      <calculatedColumnFormula>+$H$7</calculatedColumnFormula>
    </tableColumn>
    <tableColumn id="11" xr3:uid="{725098BC-D61C-4457-8D2A-AEFA57A11109}" name="Precio Neto" dataDxfId="375" dataCellStyle="Moneda">
      <calculatedColumnFormula>+ROUND(ListaPreciosProductos7826[[#This Row],[Columna1]]*(1-ListaPreciosProductos7826[[#This Row],[Descuento2]]),2)</calculatedColumnFormula>
    </tableColumn>
    <tableColumn id="12" xr3:uid="{D21A0D5E-88B7-4C9E-93C8-F44B0372C8CC}" name="Precio Neto2" dataDxfId="374" dataCellStyle="Moneda">
      <calculatedColumnFormula>+ListaPreciosProductos7826[[#This Row],[Precio Neto]]&amp;" "&amp;ListaPreciosProductos7826[[#This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3ADDE1-4BA8-42C6-A3FE-6386781F6B80}" name="ListaPreciosProductos78927" displayName="ListaPreciosProductos78927" ref="B98:M106" headerRowDxfId="373" dataDxfId="372">
  <autoFilter ref="B98:M106" xr:uid="{48CFA6EB-DA8E-4CDC-9295-8C035EA8A507}"/>
  <tableColumns count="12">
    <tableColumn id="1" xr3:uid="{9F923F06-89EA-467A-9C5E-02C5B7209D72}" name="Referencia" totalsRowLabel="Total" dataDxfId="371" totalsRowDxfId="370"/>
    <tableColumn id="2" xr3:uid="{53B63F98-BB21-4FB6-9099-AC99E1DC4F8E}" name="Nombre" dataDxfId="369" totalsRowDxfId="368"/>
    <tableColumn id="3" xr3:uid="{AABF9FFB-2EC9-4FD7-BE63-69CD1F6A5C0B}" name="Descripción" dataDxfId="367" totalsRowDxfId="366"/>
    <tableColumn id="7" xr3:uid="{86BF7718-2637-430F-BA92-A4EE032C6933}" name="Dimensiones" dataDxfId="365" totalsRowDxfId="364"/>
    <tableColumn id="5" xr3:uid="{52962C6A-ADF2-407A-AF6D-927846E96656}" name="Unidad de Venta" dataDxfId="363" totalsRowDxfId="362"/>
    <tableColumn id="6" xr3:uid="{15284E1F-9635-4AC8-A1E1-43132594F8AB}" name="Presentación" dataDxfId="361" totalsRowDxfId="360"/>
    <tableColumn id="4" xr3:uid="{386562EF-59C1-4DE7-AB19-256A00EA8463}" name="Precio PVP" dataDxfId="359" totalsRowDxfId="358" dataCellStyle="Moneda"/>
    <tableColumn id="8" xr3:uid="{3EDE8599-B4EB-4F20-A0D8-593D4A1F1540}" name="Columna1" dataDxfId="357" totalsRowDxfId="356">
      <calculatedColumnFormula>+MID(ListaPreciosProductos78927[[#This Row],[Precio PVP]],1,5)</calculatedColumnFormula>
    </tableColumn>
    <tableColumn id="9" xr3:uid="{F8D59A35-1575-4539-847D-494BED0EADD0}" name="Columna2" dataDxfId="355" totalsRowDxfId="354" dataCellStyle="Moneda">
      <calculatedColumnFormula>ListaPreciosProductos78927[[#This Row],[Columna1]]*0.57</calculatedColumnFormula>
    </tableColumn>
    <tableColumn id="10" xr3:uid="{5128E64E-5EF9-4B48-B147-BB4C0F992371}" name="Descuento2" dataDxfId="353" totalsRowDxfId="352" dataCellStyle="Moneda">
      <calculatedColumnFormula>+$H$7</calculatedColumnFormula>
    </tableColumn>
    <tableColumn id="11" xr3:uid="{A5DC468A-57E7-445B-9041-0FE02418DE24}" name="Precio Neto" dataDxfId="351" totalsRowDxfId="350" dataCellStyle="Moneda">
      <calculatedColumnFormula>+ROUND(ListaPreciosProductos78927[[#This Row],[Columna1]]*(1-ListaPreciosProductos78927[[#This Row],[Descuento2]]),2)</calculatedColumnFormula>
    </tableColumn>
    <tableColumn id="12" xr3:uid="{7E4C4C4C-CA10-401D-97D6-35C1DFD6A147}" name="Precio Neto2" dataDxfId="349" totalsRowDxfId="348" dataCellStyle="Moneda">
      <calculatedColumnFormula>+ListaPreciosProductos78927[[#This Row],[Precio Neto]]&amp;" "&amp;ListaPreciosProductos78927[[#This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DA51CD-39A3-46AA-BC69-598CD87480C4}" name="ListaPreciosProductos7891028" displayName="ListaPreciosProductos7891028" ref="B115:M117" headerRowDxfId="347" dataDxfId="346">
  <autoFilter ref="B115:M117" xr:uid="{00793BF3-E113-465E-8877-0F4C25012452}"/>
  <tableColumns count="12">
    <tableColumn id="1" xr3:uid="{7429EEEC-7E5B-4F5E-BF01-8EDAAE87A1B7}" name="Referencia" totalsRowLabel="Total" dataDxfId="345" totalsRowDxfId="344"/>
    <tableColumn id="2" xr3:uid="{EA7C7A80-DA9E-430D-A6A5-71F375E5C6CE}" name="Nombre" dataDxfId="343" totalsRowDxfId="342"/>
    <tableColumn id="3" xr3:uid="{B9396835-D995-4ED9-98EC-CA8BEFA12009}" name="Descripción" dataDxfId="341" totalsRowDxfId="340"/>
    <tableColumn id="7" xr3:uid="{6D4B1708-C859-4E3F-8E8D-3708A45E4DC9}" name="Dimensiones" dataDxfId="339" totalsRowDxfId="338"/>
    <tableColumn id="5" xr3:uid="{E452C4A1-A6FA-47E4-9689-52961961AAC0}" name="Unidad de Venta" dataDxfId="337" totalsRowDxfId="336"/>
    <tableColumn id="6" xr3:uid="{3151B451-523F-4EE6-B73B-E4BC776636E5}" name="Presentación" dataDxfId="335" totalsRowDxfId="334"/>
    <tableColumn id="4" xr3:uid="{4F000D66-0C24-48F7-B9E1-56B0FAA54485}" name="Precio PVP" dataDxfId="333" totalsRowDxfId="332" dataCellStyle="Moneda"/>
    <tableColumn id="8" xr3:uid="{5B5BB670-FF1E-4A07-BED0-53A7E2B13EE1}" name="Columna1" dataDxfId="331" totalsRowDxfId="330">
      <calculatedColumnFormula>+MID(ListaPreciosProductos7891028[[#This Row],[Precio PVP]],1,5)</calculatedColumnFormula>
    </tableColumn>
    <tableColumn id="9" xr3:uid="{070166ED-5A56-49DD-9BFD-7EBC071CE24E}" name="Columna2" dataDxfId="329" totalsRowDxfId="328" dataCellStyle="Moneda"/>
    <tableColumn id="10" xr3:uid="{0B40236D-B649-41F3-8B5F-59B75C46C54F}" name="Descuento2" dataDxfId="327" totalsRowDxfId="326" dataCellStyle="Moneda">
      <calculatedColumnFormula>+$H$7</calculatedColumnFormula>
    </tableColumn>
    <tableColumn id="11" xr3:uid="{BE65B592-B1C8-43B1-93E3-4A83B8D35837}" name="Precio Neto" dataDxfId="325" totalsRowDxfId="324" dataCellStyle="Moneda">
      <calculatedColumnFormula>+ROUND(ListaPreciosProductos7891028[[#This Row],[Columna1]]*(1-ListaPreciosProductos7891028[[#This Row],[Descuento2]]),2)</calculatedColumnFormula>
    </tableColumn>
    <tableColumn id="12" xr3:uid="{C42EBB03-B7ED-4B5E-B3AA-B8E4D8562E1B}" name="Precio Neto2" dataDxfId="323" totalsRowDxfId="322" dataCellStyle="Moneda">
      <calculatedColumnFormula>+ListaPreciosProductos7891028[[#This Row],[Precio Neto]]&amp;" "&amp;ListaPreciosProductos7891028[[#This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00D9361-956E-45E1-BE2B-F72D56A62361}" name="ListaPreciosProductos789101129" displayName="ListaPreciosProductos789101129" ref="B121:M129" headerRowDxfId="321" dataDxfId="320">
  <autoFilter ref="B121:M129" xr:uid="{8CA95846-ACB0-4B5F-B74A-1B3AA81567DE}"/>
  <tableColumns count="12">
    <tableColumn id="1" xr3:uid="{91663840-BCE3-4F78-93EC-8E5A03C18EC5}" name="Referencia" totalsRowLabel="Total" dataDxfId="319" totalsRowDxfId="318"/>
    <tableColumn id="2" xr3:uid="{1EEE1E53-85D4-4916-9590-DAFB95E2955F}" name="Nombre" dataDxfId="317" totalsRowDxfId="316"/>
    <tableColumn id="3" xr3:uid="{AB2819E9-0830-42DD-AFE3-2D1261C8A070}" name="Descripción" dataDxfId="315" totalsRowDxfId="314"/>
    <tableColumn id="7" xr3:uid="{4ADACFC8-90C5-4478-9E8D-232A0DA857A6}" name="Dimensiones" dataDxfId="313" totalsRowDxfId="312"/>
    <tableColumn id="5" xr3:uid="{D57BDC29-1253-4925-BC8E-8107F6D03DC2}" name="Unidad de Venta" dataDxfId="311" totalsRowDxfId="310"/>
    <tableColumn id="6" xr3:uid="{6B5F1095-DB53-4C37-AA25-A4A2C30175CF}" name="Presentación" dataDxfId="309" totalsRowDxfId="308"/>
    <tableColumn id="4" xr3:uid="{2AB0D014-AE77-4D38-AEC9-AAA8FF99D8F0}" name="Precio PVP" dataDxfId="307" totalsRowDxfId="306" dataCellStyle="Moneda"/>
    <tableColumn id="8" xr3:uid="{4EA274EA-B7B0-4E3B-983C-C754B0A0CE1D}" name="Columna1" dataDxfId="305" totalsRowDxfId="304">
      <calculatedColumnFormula>+MID(ListaPreciosProductos789101129[[#This Row],[Precio PVP]],1,5)</calculatedColumnFormula>
    </tableColumn>
    <tableColumn id="9" xr3:uid="{24F93C8E-2842-43EF-89C7-40F001BD0CBB}" name="Columna2" dataDxfId="303" totalsRowDxfId="302" dataCellStyle="Moneda">
      <calculatedColumnFormula>ListaPreciosProductos789101129[[#This Row],[Columna1]]*0.57</calculatedColumnFormula>
    </tableColumn>
    <tableColumn id="10" xr3:uid="{AFE222AC-89FB-4ABA-89CB-74F437370BB8}" name="Descuento2" dataDxfId="301" totalsRowDxfId="300" dataCellStyle="Moneda">
      <calculatedColumnFormula>+$H$7</calculatedColumnFormula>
    </tableColumn>
    <tableColumn id="11" xr3:uid="{5A6329DB-F047-4D39-AFEF-0400B6B30327}" name="Precio Neto" dataDxfId="299" totalsRowDxfId="298" dataCellStyle="Moneda">
      <calculatedColumnFormula>+ROUND(ListaPreciosProductos789101129[[#This Row],[Columna1]]*(1-ListaPreciosProductos789101129[[#This Row],[Descuento2]]),2)</calculatedColumnFormula>
    </tableColumn>
    <tableColumn id="12" xr3:uid="{5DA2EF6A-D1A8-4F8A-AF12-A501E15BFF41}" name="Precio Neto2" dataDxfId="297" totalsRowDxfId="296" dataCellStyle="Moneda">
      <calculatedColumnFormula>+ListaPreciosProductos789101129[[#This Row],[Precio Neto]]&amp;" "&amp;ListaPreciosProductos789101129[[#This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F1FA2C-2695-4F4B-B26C-8538A4BCAF38}" name="ListaPreciosProductos78910111230" displayName="ListaPreciosProductos78910111230" ref="B133:M143" headerRowDxfId="295" dataDxfId="294">
  <autoFilter ref="B133:M143" xr:uid="{AD3737E8-01E8-4857-AE4F-9F65F57173E7}"/>
  <tableColumns count="12">
    <tableColumn id="1" xr3:uid="{04AC7E8C-D24A-4415-A6F4-3CF446904B12}" name="Referencia" totalsRowLabel="Total" dataDxfId="293" totalsRowDxfId="292"/>
    <tableColumn id="2" xr3:uid="{F79B58E3-31F4-4222-AFD4-EC3C6D44CCEB}" name="Nombre" dataDxfId="291" totalsRowDxfId="290"/>
    <tableColumn id="3" xr3:uid="{AB81AB12-B7F1-4F00-A0CF-93C226BA3B47}" name="Descripción" dataDxfId="289" totalsRowDxfId="288"/>
    <tableColumn id="7" xr3:uid="{46ECC6F3-D5C7-42DE-B7E7-8E9244178024}" name="Dimensiones" dataDxfId="287" totalsRowDxfId="286"/>
    <tableColumn id="5" xr3:uid="{95220181-E7A6-404B-844E-D8482DEF97ED}" name="Unidad de Venta" dataDxfId="285" totalsRowDxfId="284"/>
    <tableColumn id="6" xr3:uid="{7E45F11E-5361-4FEC-BB4A-B3F3CDCCF0BA}" name="Presentación" dataDxfId="283" totalsRowDxfId="282"/>
    <tableColumn id="4" xr3:uid="{2A74C239-7F93-4DBA-A65D-7A7D746B6943}" name="Precio PVP" dataDxfId="281" totalsRowDxfId="280" dataCellStyle="Moneda"/>
    <tableColumn id="8" xr3:uid="{B9FCFF1E-D0B2-4534-AC2C-F13C6402B066}" name="Columna1" dataDxfId="279" totalsRowDxfId="278">
      <calculatedColumnFormula>+MID(ListaPreciosProductos78910111230[[#This Row],[Precio PVP]],1,5)</calculatedColumnFormula>
    </tableColumn>
    <tableColumn id="9" xr3:uid="{4084CDE6-87D1-4298-82F2-F9B6AFD3E335}" name="Columna2" dataDxfId="277" totalsRowDxfId="276" dataCellStyle="Moneda">
      <calculatedColumnFormula>ListaPreciosProductos78910111230[[#This Row],[Columna1]]*0.57</calculatedColumnFormula>
    </tableColumn>
    <tableColumn id="10" xr3:uid="{BAB9A429-F4EF-413F-9135-3AEF3CCA821E}" name="Descuento2" dataDxfId="275" totalsRowDxfId="274" dataCellStyle="Moneda">
      <calculatedColumnFormula>+$H$7</calculatedColumnFormula>
    </tableColumn>
    <tableColumn id="11" xr3:uid="{0BE85B2F-B2FF-41B3-9960-E8C0609882E2}" name="Precio Neto" dataDxfId="273" totalsRowDxfId="272" dataCellStyle="Moneda">
      <calculatedColumnFormula>+ROUND(ListaPreciosProductos78910111230[[#This Row],[Columna1]]*(1-ListaPreciosProductos78910111230[[#This Row],[Descuento2]]),2)</calculatedColumnFormula>
    </tableColumn>
    <tableColumn id="12" xr3:uid="{AFD4D348-80BC-4FB6-B478-369883DA1511}" name="Precio Neto2" dataDxfId="271" totalsRowDxfId="270" dataCellStyle="Moneda">
      <calculatedColumnFormula>+ListaPreciosProductos78910111230[[#This Row],[Precio Neto]]&amp;" "&amp;ListaPreciosProductos78910111230[[#This Row],[Columna2]]</calculatedColumnFormula>
    </tableColumn>
  </tableColumns>
  <tableStyleInfo name="Lista de precios de productos" showFirstColumn="0" showLastColumn="0" showRowStripes="1" showColumnStripes="0"/>
  <extLst>
    <ext xmlns:x14="http://schemas.microsoft.com/office/spreadsheetml/2009/9/main" uri="{504A1905-F514-4f6f-8877-14C23A59335A}">
      <x14:table altTextSummary="Escriba el número, el nombre, la descripción, el minorista y el precio por unidad del producto en esta tabla"/>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50FE8-FD39-4DB2-BD73-AE5DE3CF9AC0}">
  <sheetPr>
    <tabColor theme="4" tint="-0.499984740745262"/>
    <pageSetUpPr autoPageBreaks="0" fitToPage="1"/>
  </sheetPr>
  <dimension ref="A1:M330"/>
  <sheetViews>
    <sheetView showGridLines="0" tabSelected="1" view="pageBreakPreview" zoomScale="90" zoomScaleNormal="90" zoomScaleSheetLayoutView="90" zoomScalePageLayoutView="80" workbookViewId="0">
      <selection activeCell="T7" sqref="T7"/>
    </sheetView>
  </sheetViews>
  <sheetFormatPr baseColWidth="10" defaultColWidth="9.85546875" defaultRowHeight="30" customHeight="1" x14ac:dyDescent="0.25"/>
  <cols>
    <col min="1" max="1" width="2.85546875" customWidth="1"/>
    <col min="2" max="2" width="16.7109375" bestFit="1" customWidth="1"/>
    <col min="3" max="3" width="40.140625" customWidth="1"/>
    <col min="4" max="4" width="85.42578125" customWidth="1"/>
    <col min="5" max="5" width="22.42578125" customWidth="1"/>
    <col min="6" max="6" width="15.85546875" customWidth="1"/>
    <col min="7" max="7" width="20" style="3" customWidth="1"/>
    <col min="8" max="8" width="17.42578125" style="3" customWidth="1"/>
    <col min="9" max="9" width="15.85546875" style="3" hidden="1" customWidth="1"/>
    <col min="10" max="10" width="15.85546875" hidden="1" customWidth="1"/>
    <col min="11" max="12" width="16.140625" hidden="1" customWidth="1"/>
    <col min="13" max="13" width="17.28515625" hidden="1" customWidth="1"/>
    <col min="14" max="14" width="2.85546875" customWidth="1"/>
  </cols>
  <sheetData>
    <row r="1" spans="1:13" ht="6.75" customHeight="1" x14ac:dyDescent="0.4">
      <c r="B1" s="1"/>
      <c r="C1" s="1"/>
      <c r="D1" s="2"/>
      <c r="E1" s="2"/>
      <c r="F1" s="2"/>
      <c r="G1" s="2"/>
    </row>
    <row r="2" spans="1:13" ht="5.0999999999999996" customHeight="1" x14ac:dyDescent="0.25">
      <c r="B2" s="1"/>
      <c r="C2" s="1"/>
      <c r="D2" s="136" t="s">
        <v>0</v>
      </c>
      <c r="E2" s="136"/>
      <c r="F2" s="136"/>
      <c r="G2" s="136"/>
    </row>
    <row r="3" spans="1:13" ht="17.100000000000001" customHeight="1" x14ac:dyDescent="0.25">
      <c r="B3" s="4"/>
      <c r="C3" s="4"/>
      <c r="D3" s="136"/>
      <c r="E3" s="136"/>
      <c r="F3" s="136"/>
      <c r="G3" s="136"/>
    </row>
    <row r="4" spans="1:13" ht="14.1" customHeight="1" x14ac:dyDescent="0.25">
      <c r="B4" s="4"/>
      <c r="C4" s="4"/>
      <c r="D4" s="135" t="s">
        <v>1</v>
      </c>
      <c r="E4" s="135"/>
      <c r="F4" s="135"/>
      <c r="G4" s="135"/>
    </row>
    <row r="5" spans="1:13" ht="17.100000000000001" customHeight="1" x14ac:dyDescent="0.25">
      <c r="B5" s="4"/>
      <c r="C5" s="4"/>
      <c r="D5" s="135" t="s">
        <v>2</v>
      </c>
      <c r="E5" s="135"/>
      <c r="F5" s="135"/>
      <c r="G5" s="135"/>
    </row>
    <row r="6" spans="1:13" ht="17.100000000000001" customHeight="1" x14ac:dyDescent="0.25">
      <c r="B6" s="6"/>
      <c r="C6" s="6"/>
      <c r="D6" s="135"/>
      <c r="E6" s="135"/>
      <c r="F6" s="135"/>
      <c r="G6" s="135"/>
    </row>
    <row r="7" spans="1:13" ht="33.6" customHeight="1" x14ac:dyDescent="0.25">
      <c r="B7" s="7"/>
      <c r="C7" s="7"/>
      <c r="D7" s="7"/>
      <c r="E7" s="7"/>
      <c r="F7" s="7"/>
      <c r="G7" s="7"/>
      <c r="H7" s="8">
        <v>0.43</v>
      </c>
      <c r="I7" s="9"/>
    </row>
    <row r="8" spans="1:13" ht="12" customHeight="1" x14ac:dyDescent="0.25">
      <c r="A8" s="109"/>
      <c r="B8" s="137" t="s">
        <v>3</v>
      </c>
      <c r="C8" s="137"/>
      <c r="D8" s="137"/>
      <c r="E8" s="137"/>
      <c r="F8" s="137"/>
      <c r="G8" s="10">
        <v>45797</v>
      </c>
      <c r="H8" s="10"/>
      <c r="I8" s="11"/>
    </row>
    <row r="9" spans="1:13" ht="17.45" customHeight="1" x14ac:dyDescent="0.25">
      <c r="B9" s="12"/>
      <c r="C9" s="12"/>
      <c r="D9" s="12"/>
      <c r="E9" s="12"/>
      <c r="F9" s="12"/>
      <c r="G9" s="13"/>
    </row>
    <row r="10" spans="1:13" ht="8.4499999999999993" customHeight="1" x14ac:dyDescent="0.25">
      <c r="B10" s="12"/>
      <c r="C10" s="12"/>
      <c r="D10" s="12"/>
      <c r="E10" s="12"/>
      <c r="F10" s="12"/>
      <c r="G10" s="13"/>
    </row>
    <row r="11" spans="1:13" ht="8.1" customHeight="1" x14ac:dyDescent="0.25">
      <c r="B11" s="14"/>
      <c r="C11" s="15"/>
      <c r="D11" s="16"/>
      <c r="E11" s="16"/>
      <c r="F11" s="17"/>
      <c r="G11" s="18"/>
      <c r="H11" s="19"/>
      <c r="I11" s="19"/>
    </row>
    <row r="12" spans="1:13" ht="18" customHeight="1" x14ac:dyDescent="0.25">
      <c r="B12" s="138" t="s">
        <v>4</v>
      </c>
      <c r="C12" s="138"/>
      <c r="D12" s="138"/>
      <c r="E12" s="12"/>
      <c r="F12" s="12"/>
      <c r="G12" s="13"/>
    </row>
    <row r="13" spans="1:13" ht="23.45" customHeight="1" x14ac:dyDescent="0.25">
      <c r="B13" s="20" t="s">
        <v>5</v>
      </c>
      <c r="C13" s="20" t="s">
        <v>6</v>
      </c>
      <c r="D13" s="20" t="s">
        <v>7</v>
      </c>
      <c r="E13" s="20" t="s">
        <v>8</v>
      </c>
      <c r="F13" s="21" t="s">
        <v>9</v>
      </c>
      <c r="G13" s="22" t="s">
        <v>10</v>
      </c>
      <c r="H13" s="22" t="s">
        <v>11</v>
      </c>
      <c r="I13" s="22" t="s">
        <v>12</v>
      </c>
      <c r="J13" s="20" t="s">
        <v>13</v>
      </c>
      <c r="K13" s="20" t="s">
        <v>14</v>
      </c>
      <c r="L13" s="20" t="s">
        <v>15</v>
      </c>
      <c r="M13" s="20" t="s">
        <v>16</v>
      </c>
    </row>
    <row r="14" spans="1:13" ht="33" customHeight="1" x14ac:dyDescent="0.25">
      <c r="B14" s="14" t="s">
        <v>17</v>
      </c>
      <c r="C14" s="15" t="s">
        <v>18</v>
      </c>
      <c r="D14" s="16" t="s">
        <v>19</v>
      </c>
      <c r="E14" s="16" t="s">
        <v>20</v>
      </c>
      <c r="F14" s="17" t="s">
        <v>21</v>
      </c>
      <c r="G14" s="23" t="s">
        <v>22</v>
      </c>
      <c r="H14" s="24" t="s">
        <v>23</v>
      </c>
      <c r="I14" s="19" t="str">
        <f>+MID(ListaPreciosProductos1639[[#This Row],[Precio PVP]],1,4)</f>
        <v>8,05</v>
      </c>
      <c r="J14" s="25" t="s">
        <v>24</v>
      </c>
      <c r="K14" s="26">
        <f t="shared" ref="K14:K19" si="0">+$H$7</f>
        <v>0.43</v>
      </c>
      <c r="L14" s="27">
        <f>+ROUND(ListaPreciosProductos1639[[#This Row],[Columna1]]*(1-ListaPreciosProductos1639[[#This Row],[Descuento2]]),2)</f>
        <v>4.59</v>
      </c>
      <c r="M14" s="28" t="str">
        <f>+ListaPreciosProductos1639[[#This Row],[Precio Neto]]&amp;" "&amp;ListaPreciosProductos1639[[#This Row],[Columna2]]</f>
        <v>4,59 €/m2</v>
      </c>
    </row>
    <row r="15" spans="1:13" ht="33.6" customHeight="1" x14ac:dyDescent="0.25">
      <c r="B15" s="14" t="s">
        <v>25</v>
      </c>
      <c r="C15" s="15" t="s">
        <v>26</v>
      </c>
      <c r="D15" s="16" t="s">
        <v>19</v>
      </c>
      <c r="E15" s="16" t="s">
        <v>27</v>
      </c>
      <c r="F15" s="17" t="s">
        <v>21</v>
      </c>
      <c r="G15" s="23" t="s">
        <v>28</v>
      </c>
      <c r="H15" s="24" t="s">
        <v>29</v>
      </c>
      <c r="I15" s="19" t="str">
        <f>+MID(ListaPreciosProductos1639[[#This Row],[Precio PVP]],1,4)</f>
        <v>11,3</v>
      </c>
      <c r="J15" s="25" t="s">
        <v>24</v>
      </c>
      <c r="K15" s="26">
        <f t="shared" si="0"/>
        <v>0.43</v>
      </c>
      <c r="L15" s="27">
        <f>+ROUND(ListaPreciosProductos1639[[#This Row],[Columna1]]*(1-ListaPreciosProductos1639[[#This Row],[Descuento2]]),2)</f>
        <v>6.44</v>
      </c>
      <c r="M15" s="28" t="str">
        <f>+ListaPreciosProductos1639[[#This Row],[Precio Neto]]&amp;" "&amp;ListaPreciosProductos1639[[#This Row],[Columna2]]</f>
        <v>6,44 €/m2</v>
      </c>
    </row>
    <row r="16" spans="1:13" ht="33.950000000000003" customHeight="1" x14ac:dyDescent="0.25">
      <c r="B16" s="14" t="s">
        <v>30</v>
      </c>
      <c r="C16" s="15" t="s">
        <v>26</v>
      </c>
      <c r="D16" s="16" t="s">
        <v>31</v>
      </c>
      <c r="E16" s="16" t="s">
        <v>20</v>
      </c>
      <c r="F16" s="17" t="s">
        <v>21</v>
      </c>
      <c r="G16" s="23" t="s">
        <v>22</v>
      </c>
      <c r="H16" s="24" t="s">
        <v>29</v>
      </c>
      <c r="I16" s="19" t="str">
        <f>+MID(ListaPreciosProductos1639[[#This Row],[Precio PVP]],1,4)</f>
        <v>11,3</v>
      </c>
      <c r="J16" s="25" t="s">
        <v>24</v>
      </c>
      <c r="K16" s="26">
        <f t="shared" si="0"/>
        <v>0.43</v>
      </c>
      <c r="L16" s="27">
        <f>+ROUND(ListaPreciosProductos1639[[#This Row],[Columna1]]*(1-ListaPreciosProductos1639[[#This Row],[Descuento2]]),2)</f>
        <v>6.44</v>
      </c>
      <c r="M16" s="28" t="str">
        <f>+ListaPreciosProductos1639[[#This Row],[Precio Neto]]&amp;" "&amp;ListaPreciosProductos1639[[#This Row],[Columna2]]</f>
        <v>6,44 €/m2</v>
      </c>
    </row>
    <row r="17" spans="2:13" ht="31.5" customHeight="1" x14ac:dyDescent="0.25">
      <c r="B17" s="14" t="s">
        <v>32</v>
      </c>
      <c r="C17" s="15" t="s">
        <v>33</v>
      </c>
      <c r="D17" s="16" t="s">
        <v>34</v>
      </c>
      <c r="E17" s="16" t="s">
        <v>35</v>
      </c>
      <c r="F17" s="17" t="s">
        <v>21</v>
      </c>
      <c r="G17" s="23" t="s">
        <v>36</v>
      </c>
      <c r="H17" s="24" t="s">
        <v>37</v>
      </c>
      <c r="I17" s="19" t="str">
        <f>+MID(ListaPreciosProductos1639[[#This Row],[Precio PVP]],1,4)</f>
        <v>6,60</v>
      </c>
      <c r="J17" s="25" t="s">
        <v>24</v>
      </c>
      <c r="K17" s="26">
        <f t="shared" si="0"/>
        <v>0.43</v>
      </c>
      <c r="L17" s="27">
        <f>+ROUND(ListaPreciosProductos1639[[#This Row],[Columna1]]*(1-ListaPreciosProductos1639[[#This Row],[Descuento2]]),2)</f>
        <v>3.76</v>
      </c>
      <c r="M17" s="28" t="str">
        <f>+ListaPreciosProductos1639[[#This Row],[Precio Neto]]&amp;" "&amp;ListaPreciosProductos1639[[#This Row],[Columna2]]</f>
        <v>3,76 €/m2</v>
      </c>
    </row>
    <row r="18" spans="2:13" ht="27.95" hidden="1" customHeight="1" x14ac:dyDescent="0.25">
      <c r="B18" s="14" t="s">
        <v>38</v>
      </c>
      <c r="C18" s="15" t="s">
        <v>39</v>
      </c>
      <c r="D18" s="16" t="s">
        <v>40</v>
      </c>
      <c r="E18" s="16" t="s">
        <v>41</v>
      </c>
      <c r="F18" s="17" t="s">
        <v>21</v>
      </c>
      <c r="G18" s="23" t="s">
        <v>42</v>
      </c>
      <c r="H18" s="29" t="s">
        <v>43</v>
      </c>
      <c r="I18" s="19" t="str">
        <f>+MID(ListaPreciosProductos1639[[#This Row],[Precio PVP]],1,4)</f>
        <v>12,5</v>
      </c>
      <c r="J18" s="25" t="s">
        <v>24</v>
      </c>
      <c r="K18" s="26">
        <f t="shared" si="0"/>
        <v>0.43</v>
      </c>
      <c r="L18" s="27">
        <f>+ROUND(ListaPreciosProductos1639[[#This Row],[Columna1]]*(1-ListaPreciosProductos1639[[#This Row],[Descuento2]]),2)</f>
        <v>7.13</v>
      </c>
      <c r="M18" s="28" t="str">
        <f>+ListaPreciosProductos1639[[#This Row],[Precio Neto]]&amp;" "&amp;ListaPreciosProductos1639[[#This Row],[Columna2]]</f>
        <v>7,13 €/m2</v>
      </c>
    </row>
    <row r="19" spans="2:13" ht="28.5" customHeight="1" x14ac:dyDescent="0.25">
      <c r="B19" s="14" t="s">
        <v>44</v>
      </c>
      <c r="C19" s="15" t="s">
        <v>45</v>
      </c>
      <c r="D19" s="16" t="s">
        <v>46</v>
      </c>
      <c r="E19" s="16" t="s">
        <v>41</v>
      </c>
      <c r="F19" s="17" t="s">
        <v>21</v>
      </c>
      <c r="G19" s="23" t="s">
        <v>47</v>
      </c>
      <c r="H19" s="24" t="s">
        <v>48</v>
      </c>
      <c r="I19" s="19" t="str">
        <f>+MID(ListaPreciosProductos1639[[#This Row],[Precio PVP]],1,4)</f>
        <v>9,45</v>
      </c>
      <c r="J19" s="25" t="s">
        <v>24</v>
      </c>
      <c r="K19" s="26">
        <f t="shared" si="0"/>
        <v>0.43</v>
      </c>
      <c r="L19" s="27">
        <f>+ROUND(ListaPreciosProductos1639[[#This Row],[Columna1]]*(1-ListaPreciosProductos1639[[#This Row],[Descuento2]]),2)</f>
        <v>5.39</v>
      </c>
      <c r="M19" s="28" t="str">
        <f>+ListaPreciosProductos1639[[#This Row],[Precio Neto]]&amp;" "&amp;ListaPreciosProductos1639[[#This Row],[Columna2]]</f>
        <v>5,39 €/m2</v>
      </c>
    </row>
    <row r="20" spans="2:13" ht="9.9499999999999993" customHeight="1" x14ac:dyDescent="0.25"/>
    <row r="21" spans="2:13" ht="21" hidden="1" customHeight="1" x14ac:dyDescent="0.25">
      <c r="B21" s="138" t="s">
        <v>49</v>
      </c>
      <c r="C21" s="138"/>
      <c r="D21" s="138"/>
      <c r="E21" s="12"/>
      <c r="F21" s="12"/>
      <c r="G21" s="13"/>
    </row>
    <row r="22" spans="2:13" ht="30" hidden="1" customHeight="1" x14ac:dyDescent="0.25">
      <c r="B22" s="20" t="s">
        <v>5</v>
      </c>
      <c r="C22" s="20" t="s">
        <v>6</v>
      </c>
      <c r="D22" s="20" t="s">
        <v>7</v>
      </c>
      <c r="E22" s="20" t="s">
        <v>8</v>
      </c>
      <c r="F22" s="21" t="s">
        <v>9</v>
      </c>
      <c r="G22" s="22" t="s">
        <v>10</v>
      </c>
      <c r="H22" s="22" t="s">
        <v>11</v>
      </c>
      <c r="I22" s="20" t="s">
        <v>12</v>
      </c>
      <c r="J22" s="20" t="s">
        <v>13</v>
      </c>
      <c r="K22" s="20" t="s">
        <v>14</v>
      </c>
      <c r="L22" s="20" t="s">
        <v>15</v>
      </c>
      <c r="M22" s="20" t="s">
        <v>16</v>
      </c>
    </row>
    <row r="23" spans="2:13" ht="36" hidden="1" customHeight="1" x14ac:dyDescent="0.25">
      <c r="B23" s="30" t="s">
        <v>50</v>
      </c>
      <c r="C23" s="15" t="s">
        <v>51</v>
      </c>
      <c r="D23" s="31" t="s">
        <v>52</v>
      </c>
      <c r="E23" s="32" t="s">
        <v>53</v>
      </c>
      <c r="F23" s="32" t="s">
        <v>21</v>
      </c>
      <c r="G23" s="33" t="s">
        <v>54</v>
      </c>
      <c r="H23" s="34" t="s">
        <v>55</v>
      </c>
      <c r="I23" s="35" t="str">
        <f>+MID(ListaPreciosProductos32[[#This Row],[Precio PVP]],1,5)</f>
        <v>17,50</v>
      </c>
      <c r="J23" s="25" t="s">
        <v>24</v>
      </c>
      <c r="K23" s="26">
        <f t="shared" ref="K23:K28" si="1">+$H$7</f>
        <v>0.43</v>
      </c>
      <c r="L23" s="27">
        <f>+ROUND(ListaPreciosProductos32[[#This Row],[Columna1]]*(1-ListaPreciosProductos32[[#This Row],[Descuento2]]),2)</f>
        <v>9.98</v>
      </c>
      <c r="M23" s="28" t="str">
        <f>+ListaPreciosProductos32[[#This Row],[Precio Neto]]&amp;" "&amp;ListaPreciosProductos32[[#This Row],[Columna2]]</f>
        <v>9,98 €/m2</v>
      </c>
    </row>
    <row r="24" spans="2:13" ht="36" hidden="1" customHeight="1" x14ac:dyDescent="0.25">
      <c r="B24" s="30" t="s">
        <v>56</v>
      </c>
      <c r="C24" s="15" t="s">
        <v>57</v>
      </c>
      <c r="D24" s="31" t="s">
        <v>58</v>
      </c>
      <c r="E24" s="32" t="s">
        <v>53</v>
      </c>
      <c r="F24" s="32" t="s">
        <v>21</v>
      </c>
      <c r="G24" s="33" t="s">
        <v>59</v>
      </c>
      <c r="H24" s="34" t="s">
        <v>60</v>
      </c>
      <c r="I24" s="35" t="str">
        <f>+MID(ListaPreciosProductos32[[#This Row],[Precio PVP]],1,5)</f>
        <v>17,85</v>
      </c>
      <c r="J24" s="25" t="s">
        <v>24</v>
      </c>
      <c r="K24" s="26">
        <f t="shared" si="1"/>
        <v>0.43</v>
      </c>
      <c r="L24" s="27">
        <f>+ROUND(ListaPreciosProductos32[[#This Row],[Columna1]]*(1-ListaPreciosProductos32[[#This Row],[Descuento2]]),2)</f>
        <v>10.17</v>
      </c>
      <c r="M24" s="25" t="str">
        <f>+ListaPreciosProductos32[[#This Row],[Precio Neto]]&amp;" "&amp;ListaPreciosProductos32[[#This Row],[Columna2]]</f>
        <v>10,17 €/m2</v>
      </c>
    </row>
    <row r="25" spans="2:13" ht="36" hidden="1" customHeight="1" x14ac:dyDescent="0.25">
      <c r="B25" s="30" t="s">
        <v>61</v>
      </c>
      <c r="C25" s="15" t="s">
        <v>62</v>
      </c>
      <c r="D25" s="31" t="s">
        <v>63</v>
      </c>
      <c r="E25" s="32" t="s">
        <v>53</v>
      </c>
      <c r="F25" s="32" t="s">
        <v>21</v>
      </c>
      <c r="G25" s="33" t="s">
        <v>64</v>
      </c>
      <c r="H25" s="34" t="s">
        <v>65</v>
      </c>
      <c r="I25" s="35" t="str">
        <f>+MID(ListaPreciosProductos32[[#This Row],[Precio PVP]],1,5)</f>
        <v>19,95</v>
      </c>
      <c r="J25" s="25" t="s">
        <v>24</v>
      </c>
      <c r="K25" s="26">
        <f t="shared" si="1"/>
        <v>0.43</v>
      </c>
      <c r="L25" s="36">
        <f>+ROUND(ListaPreciosProductos32[[#This Row],[Columna1]]*(1-ListaPreciosProductos32[[#This Row],[Descuento2]]),2)</f>
        <v>11.37</v>
      </c>
      <c r="M25" s="25" t="str">
        <f>+ListaPreciosProductos32[[#This Row],[Precio Neto]]&amp;" "&amp;ListaPreciosProductos32[[#This Row],[Columna2]]</f>
        <v>11,37 €/m2</v>
      </c>
    </row>
    <row r="26" spans="2:13" ht="36" hidden="1" customHeight="1" x14ac:dyDescent="0.25">
      <c r="B26" s="30" t="s">
        <v>66</v>
      </c>
      <c r="C26" s="15" t="s">
        <v>67</v>
      </c>
      <c r="D26" s="31" t="s">
        <v>68</v>
      </c>
      <c r="E26" s="32" t="s">
        <v>53</v>
      </c>
      <c r="F26" s="32" t="s">
        <v>21</v>
      </c>
      <c r="G26" s="33" t="s">
        <v>69</v>
      </c>
      <c r="H26" s="34" t="s">
        <v>70</v>
      </c>
      <c r="I26" s="35" t="str">
        <f>+MID(ListaPreciosProductos32[[#This Row],[Precio PVP]],1,5)</f>
        <v>23,90</v>
      </c>
      <c r="J26" s="25" t="s">
        <v>24</v>
      </c>
      <c r="K26" s="26">
        <f t="shared" si="1"/>
        <v>0.43</v>
      </c>
      <c r="L26" s="36">
        <f>+ROUND(ListaPreciosProductos32[[#This Row],[Columna1]]*(1-ListaPreciosProductos32[[#This Row],[Descuento2]]),2)</f>
        <v>13.62</v>
      </c>
      <c r="M26" s="25" t="str">
        <f>+ListaPreciosProductos32[[#This Row],[Precio Neto]]&amp;" "&amp;ListaPreciosProductos32[[#This Row],[Columna2]]</f>
        <v>13,62 €/m2</v>
      </c>
    </row>
    <row r="27" spans="2:13" ht="36" hidden="1" customHeight="1" x14ac:dyDescent="0.25">
      <c r="B27" s="30" t="s">
        <v>71</v>
      </c>
      <c r="C27" s="15" t="s">
        <v>72</v>
      </c>
      <c r="D27" s="31" t="s">
        <v>73</v>
      </c>
      <c r="E27" s="32" t="s">
        <v>53</v>
      </c>
      <c r="F27" s="32" t="s">
        <v>21</v>
      </c>
      <c r="G27" s="33" t="s">
        <v>74</v>
      </c>
      <c r="H27" s="34" t="s">
        <v>75</v>
      </c>
      <c r="I27" s="35" t="str">
        <f>+MID(ListaPreciosProductos32[[#This Row],[Precio PVP]],1,5)</f>
        <v>27,85</v>
      </c>
      <c r="J27" s="25" t="s">
        <v>24</v>
      </c>
      <c r="K27" s="26">
        <f t="shared" si="1"/>
        <v>0.43</v>
      </c>
      <c r="L27" s="36">
        <f>+ROUND(ListaPreciosProductos32[[#This Row],[Columna1]]*(1-ListaPreciosProductos32[[#This Row],[Descuento2]]),2)</f>
        <v>15.87</v>
      </c>
      <c r="M27" s="25" t="str">
        <f>+ListaPreciosProductos32[[#This Row],[Precio Neto]]&amp;" "&amp;ListaPreciosProductos32[[#This Row],[Columna2]]</f>
        <v>15,87 €/m2</v>
      </c>
    </row>
    <row r="28" spans="2:13" ht="36" hidden="1" customHeight="1" x14ac:dyDescent="0.25">
      <c r="B28" s="30" t="s">
        <v>76</v>
      </c>
      <c r="C28" s="15" t="s">
        <v>77</v>
      </c>
      <c r="D28" s="31" t="s">
        <v>78</v>
      </c>
      <c r="E28" s="32" t="s">
        <v>53</v>
      </c>
      <c r="F28" s="32" t="s">
        <v>21</v>
      </c>
      <c r="G28" s="33" t="s">
        <v>79</v>
      </c>
      <c r="H28" s="34" t="s">
        <v>80</v>
      </c>
      <c r="I28" s="35" t="str">
        <f>+MID(ListaPreciosProductos32[[#This Row],[Precio PVP]],1,5)</f>
        <v>34,35</v>
      </c>
      <c r="J28" s="25" t="s">
        <v>24</v>
      </c>
      <c r="K28" s="26">
        <f t="shared" si="1"/>
        <v>0.43</v>
      </c>
      <c r="L28" s="36">
        <f>+ROUND(ListaPreciosProductos32[[#This Row],[Columna1]]*(1-ListaPreciosProductos32[[#This Row],[Descuento2]]),2)</f>
        <v>19.579999999999998</v>
      </c>
      <c r="M28" s="25" t="str">
        <f>+ListaPreciosProductos32[[#This Row],[Precio Neto]]&amp;" "&amp;ListaPreciosProductos32[[#This Row],[Columna2]]</f>
        <v>19,58 €/m2</v>
      </c>
    </row>
    <row r="29" spans="2:13" ht="10.5" hidden="1" customHeight="1" x14ac:dyDescent="0.25">
      <c r="J29" s="37"/>
      <c r="K29" s="37"/>
      <c r="L29" s="37"/>
      <c r="M29" s="37"/>
    </row>
    <row r="30" spans="2:13" ht="15" customHeight="1" x14ac:dyDescent="0.25">
      <c r="B30" s="138" t="s">
        <v>81</v>
      </c>
      <c r="C30" s="138"/>
      <c r="D30" s="138"/>
      <c r="E30" s="12"/>
      <c r="F30" s="12"/>
      <c r="G30" s="13"/>
    </row>
    <row r="31" spans="2:13" ht="26.25" customHeight="1" x14ac:dyDescent="0.25">
      <c r="B31" s="20" t="s">
        <v>5</v>
      </c>
      <c r="C31" s="20" t="s">
        <v>6</v>
      </c>
      <c r="D31" s="20" t="s">
        <v>7</v>
      </c>
      <c r="E31" s="20" t="s">
        <v>8</v>
      </c>
      <c r="F31" s="21" t="s">
        <v>9</v>
      </c>
      <c r="G31" s="22" t="s">
        <v>10</v>
      </c>
      <c r="H31" s="22" t="s">
        <v>11</v>
      </c>
      <c r="I31" s="20" t="s">
        <v>12</v>
      </c>
      <c r="J31" s="20" t="s">
        <v>13</v>
      </c>
      <c r="K31" s="20" t="s">
        <v>14</v>
      </c>
      <c r="L31" s="20" t="s">
        <v>15</v>
      </c>
      <c r="M31" s="20" t="s">
        <v>16</v>
      </c>
    </row>
    <row r="32" spans="2:13" ht="27.6" customHeight="1" x14ac:dyDescent="0.25">
      <c r="B32" s="30" t="s">
        <v>82</v>
      </c>
      <c r="C32" s="15" t="s">
        <v>83</v>
      </c>
      <c r="D32" s="16" t="s">
        <v>84</v>
      </c>
      <c r="E32" s="32" t="s">
        <v>85</v>
      </c>
      <c r="F32" s="32" t="s">
        <v>21</v>
      </c>
      <c r="G32" s="33" t="s">
        <v>86</v>
      </c>
      <c r="H32" s="38" t="s">
        <v>87</v>
      </c>
      <c r="I32" s="35" t="str">
        <f>+MID(ListaPreciosProductos323[[#This Row],[Precio PVP]],1,5)</f>
        <v>12,75</v>
      </c>
      <c r="J32" s="25" t="s">
        <v>24</v>
      </c>
      <c r="K32" s="26">
        <f t="shared" ref="K32:K35" si="2">+$H$7</f>
        <v>0.43</v>
      </c>
      <c r="L32" s="27">
        <f>+ROUND(ListaPreciosProductos323[[#This Row],[Columna1]]*(1-ListaPreciosProductos323[[#This Row],[Descuento2]]),2)</f>
        <v>7.27</v>
      </c>
      <c r="M32" s="28" t="str">
        <f>+ListaPreciosProductos323[[#This Row],[Precio Neto]]&amp;" "&amp;ListaPreciosProductos323[[#This Row],[Columna2]]</f>
        <v>7,27 €/m2</v>
      </c>
    </row>
    <row r="33" spans="2:13" ht="27.6" customHeight="1" x14ac:dyDescent="0.25">
      <c r="B33" s="30" t="s">
        <v>88</v>
      </c>
      <c r="C33" s="15" t="s">
        <v>89</v>
      </c>
      <c r="D33" s="16" t="s">
        <v>90</v>
      </c>
      <c r="E33" s="32" t="s">
        <v>53</v>
      </c>
      <c r="F33" s="32" t="s">
        <v>21</v>
      </c>
      <c r="G33" s="33" t="s">
        <v>91</v>
      </c>
      <c r="H33" s="38" t="s">
        <v>92</v>
      </c>
      <c r="I33" s="35" t="str">
        <f>+MID(ListaPreciosProductos323[[#This Row],[Precio PVP]],1,5)</f>
        <v>15,90</v>
      </c>
      <c r="J33" s="25" t="s">
        <v>24</v>
      </c>
      <c r="K33" s="26">
        <f t="shared" si="2"/>
        <v>0.43</v>
      </c>
      <c r="L33" s="27">
        <f>+ROUND(ListaPreciosProductos323[[#This Row],[Columna1]]*(1-ListaPreciosProductos323[[#This Row],[Descuento2]]),2)</f>
        <v>9.06</v>
      </c>
      <c r="M33" s="25" t="str">
        <f>+ListaPreciosProductos323[[#This Row],[Precio Neto]]&amp;" "&amp;ListaPreciosProductos323[[#This Row],[Columna2]]</f>
        <v>9,06 €/m2</v>
      </c>
    </row>
    <row r="34" spans="2:13" ht="27.6" customHeight="1" x14ac:dyDescent="0.25">
      <c r="B34" s="30" t="s">
        <v>93</v>
      </c>
      <c r="C34" s="15" t="s">
        <v>94</v>
      </c>
      <c r="D34" s="16" t="s">
        <v>95</v>
      </c>
      <c r="E34" s="32" t="s">
        <v>53</v>
      </c>
      <c r="F34" s="32" t="s">
        <v>21</v>
      </c>
      <c r="G34" s="33" t="s">
        <v>96</v>
      </c>
      <c r="H34" s="24" t="s">
        <v>97</v>
      </c>
      <c r="I34" s="35" t="str">
        <f>+MID(ListaPreciosProductos323[[#This Row],[Precio PVP]],1,5)</f>
        <v>19,30</v>
      </c>
      <c r="J34" s="25" t="s">
        <v>24</v>
      </c>
      <c r="K34" s="26">
        <f t="shared" si="2"/>
        <v>0.43</v>
      </c>
      <c r="L34" s="36">
        <f>+ROUND(ListaPreciosProductos323[[#This Row],[Columna1]]*(1-ListaPreciosProductos323[[#This Row],[Descuento2]]),2)</f>
        <v>11</v>
      </c>
      <c r="M34" s="25" t="str">
        <f>+ListaPreciosProductos323[[#This Row],[Precio Neto]]&amp;" "&amp;ListaPreciosProductos323[[#This Row],[Columna2]]</f>
        <v>11 €/m2</v>
      </c>
    </row>
    <row r="35" spans="2:13" ht="27.6" customHeight="1" x14ac:dyDescent="0.25">
      <c r="B35" s="30" t="s">
        <v>98</v>
      </c>
      <c r="C35" s="15" t="s">
        <v>99</v>
      </c>
      <c r="D35" s="16" t="s">
        <v>100</v>
      </c>
      <c r="E35" s="32" t="s">
        <v>101</v>
      </c>
      <c r="F35" s="32" t="s">
        <v>101</v>
      </c>
      <c r="G35" s="33" t="s">
        <v>101</v>
      </c>
      <c r="H35" s="24">
        <v>50</v>
      </c>
      <c r="I35" s="35" t="str">
        <f>+MID(ListaPreciosProductos323[[#This Row],[Precio PVP]],1,5)</f>
        <v>50</v>
      </c>
      <c r="J35" s="25" t="s">
        <v>24</v>
      </c>
      <c r="K35" s="26">
        <f t="shared" si="2"/>
        <v>0.43</v>
      </c>
      <c r="L35" s="36">
        <f>+ROUND(ListaPreciosProductos323[[#This Row],[Columna1]]*(1-ListaPreciosProductos323[[#This Row],[Descuento2]]),2)</f>
        <v>28.5</v>
      </c>
      <c r="M35" s="25" t="str">
        <f>+ListaPreciosProductos323[[#This Row],[Precio Neto]]&amp;" "&amp;ListaPreciosProductos323[[#This Row],[Columna2]]</f>
        <v>28,5 €/m2</v>
      </c>
    </row>
    <row r="36" spans="2:13" ht="6.95" customHeight="1" x14ac:dyDescent="0.25">
      <c r="J36" s="37"/>
      <c r="K36" s="37"/>
      <c r="L36" s="37"/>
      <c r="M36" s="37"/>
    </row>
    <row r="37" spans="2:13" ht="18" customHeight="1" x14ac:dyDescent="0.25">
      <c r="B37" s="138" t="s">
        <v>102</v>
      </c>
      <c r="C37" s="138"/>
      <c r="D37" s="138"/>
      <c r="E37" s="12"/>
      <c r="F37" s="12"/>
      <c r="G37" s="13"/>
    </row>
    <row r="38" spans="2:13" ht="24.6" customHeight="1" x14ac:dyDescent="0.25">
      <c r="B38" s="20" t="s">
        <v>5</v>
      </c>
      <c r="C38" s="20" t="s">
        <v>6</v>
      </c>
      <c r="D38" s="20" t="s">
        <v>7</v>
      </c>
      <c r="E38" s="20" t="s">
        <v>8</v>
      </c>
      <c r="F38" s="21" t="s">
        <v>9</v>
      </c>
      <c r="G38" s="22" t="s">
        <v>10</v>
      </c>
      <c r="H38" s="22" t="s">
        <v>11</v>
      </c>
      <c r="I38" s="20" t="s">
        <v>12</v>
      </c>
      <c r="J38" s="20" t="s">
        <v>13</v>
      </c>
      <c r="K38" s="20" t="s">
        <v>14</v>
      </c>
      <c r="L38" s="20" t="s">
        <v>15</v>
      </c>
      <c r="M38" s="20" t="s">
        <v>16</v>
      </c>
    </row>
    <row r="39" spans="2:13" ht="40.5" x14ac:dyDescent="0.25">
      <c r="B39" s="30" t="s">
        <v>103</v>
      </c>
      <c r="C39" s="15" t="s">
        <v>104</v>
      </c>
      <c r="D39" s="39" t="s">
        <v>105</v>
      </c>
      <c r="E39" s="40" t="s">
        <v>106</v>
      </c>
      <c r="F39" s="32" t="s">
        <v>21</v>
      </c>
      <c r="G39" s="33" t="s">
        <v>107</v>
      </c>
      <c r="H39" s="24" t="s">
        <v>108</v>
      </c>
      <c r="I39" s="35" t="str">
        <f>+MID(ListaPreciosProductos35234[[#This Row],[Precio PVP]],1,5)</f>
        <v>14,80</v>
      </c>
      <c r="J39" s="25" t="s">
        <v>24</v>
      </c>
      <c r="K39" s="26">
        <f t="shared" ref="K39:K46" si="3">+$H$7</f>
        <v>0.43</v>
      </c>
      <c r="L39" s="27">
        <f>+ROUND(ListaPreciosProductos35234[[#This Row],[Columna1]]*(1-ListaPreciosProductos35234[[#This Row],[Descuento2]]),2)</f>
        <v>8.44</v>
      </c>
      <c r="M39" s="25" t="str">
        <f>+ListaPreciosProductos35234[[#This Row],[Precio Neto]]&amp;" "&amp;ListaPreciosProductos35234[[#This Row],[Columna2]]</f>
        <v>8,44 €/m2</v>
      </c>
    </row>
    <row r="40" spans="2:13" ht="40.5" x14ac:dyDescent="0.25">
      <c r="B40" s="30" t="s">
        <v>109</v>
      </c>
      <c r="C40" s="15" t="s">
        <v>110</v>
      </c>
      <c r="D40" s="39" t="s">
        <v>111</v>
      </c>
      <c r="E40" s="40" t="s">
        <v>106</v>
      </c>
      <c r="F40" s="32" t="s">
        <v>21</v>
      </c>
      <c r="G40" s="33" t="s">
        <v>107</v>
      </c>
      <c r="H40" s="24" t="s">
        <v>112</v>
      </c>
      <c r="I40" s="35" t="str">
        <f>+MID(ListaPreciosProductos35234[[#This Row],[Precio PVP]],1,5)</f>
        <v>19,80</v>
      </c>
      <c r="J40" s="25" t="s">
        <v>24</v>
      </c>
      <c r="K40" s="26">
        <f t="shared" si="3"/>
        <v>0.43</v>
      </c>
      <c r="L40" s="25">
        <f>+ROUND(ListaPreciosProductos35234[[#This Row],[Columna1]]*(1-ListaPreciosProductos35234[[#This Row],[Descuento2]]),2)</f>
        <v>11.29</v>
      </c>
      <c r="M40" s="25" t="str">
        <f>+ListaPreciosProductos35234[[#This Row],[Precio Neto]]&amp;" "&amp;ListaPreciosProductos35234[[#This Row],[Columna2]]</f>
        <v>11,29 €/m2</v>
      </c>
    </row>
    <row r="41" spans="2:13" ht="40.5" x14ac:dyDescent="0.25">
      <c r="B41" s="30" t="s">
        <v>113</v>
      </c>
      <c r="C41" s="15" t="s">
        <v>114</v>
      </c>
      <c r="D41" s="39" t="s">
        <v>115</v>
      </c>
      <c r="E41" s="40" t="s">
        <v>106</v>
      </c>
      <c r="F41" s="32" t="s">
        <v>21</v>
      </c>
      <c r="G41" s="33" t="s">
        <v>107</v>
      </c>
      <c r="H41" s="24" t="s">
        <v>116</v>
      </c>
      <c r="I41" s="35" t="str">
        <f>+MID(ListaPreciosProductos35234[[#This Row],[Precio PVP]],1,5)</f>
        <v>16,75</v>
      </c>
      <c r="J41" s="25" t="s">
        <v>24</v>
      </c>
      <c r="K41" s="26">
        <f t="shared" si="3"/>
        <v>0.43</v>
      </c>
      <c r="L41" s="25">
        <f>+ROUND(ListaPreciosProductos35234[[#This Row],[Columna1]]*(1-ListaPreciosProductos35234[[#This Row],[Descuento2]]),2)</f>
        <v>9.5500000000000007</v>
      </c>
      <c r="M41" s="25" t="str">
        <f>+ListaPreciosProductos35234[[#This Row],[Precio Neto]]&amp;" "&amp;ListaPreciosProductos35234[[#This Row],[Columna2]]</f>
        <v>9,55 €/m2</v>
      </c>
    </row>
    <row r="42" spans="2:13" ht="40.5" x14ac:dyDescent="0.25">
      <c r="B42" s="30" t="s">
        <v>117</v>
      </c>
      <c r="C42" s="15" t="s">
        <v>118</v>
      </c>
      <c r="D42" s="39" t="s">
        <v>119</v>
      </c>
      <c r="E42" s="40" t="s">
        <v>106</v>
      </c>
      <c r="F42" s="32" t="s">
        <v>21</v>
      </c>
      <c r="G42" s="33" t="s">
        <v>107</v>
      </c>
      <c r="H42" s="24" t="s">
        <v>120</v>
      </c>
      <c r="I42" s="35" t="str">
        <f>+MID(ListaPreciosProductos35234[[#This Row],[Precio PVP]],1,5)</f>
        <v>22,75</v>
      </c>
      <c r="J42" s="25" t="s">
        <v>24</v>
      </c>
      <c r="K42" s="26">
        <f t="shared" si="3"/>
        <v>0.43</v>
      </c>
      <c r="L42" s="25">
        <f>+ROUND(ListaPreciosProductos35234[[#This Row],[Columna1]]*(1-ListaPreciosProductos35234[[#This Row],[Descuento2]]),2)</f>
        <v>12.97</v>
      </c>
      <c r="M42" s="25" t="str">
        <f>+ListaPreciosProductos35234[[#This Row],[Precio Neto]]&amp;" "&amp;ListaPreciosProductos35234[[#This Row],[Columna2]]</f>
        <v>12,97 €/m2</v>
      </c>
    </row>
    <row r="43" spans="2:13" ht="27" x14ac:dyDescent="0.25">
      <c r="B43" s="30" t="s">
        <v>121</v>
      </c>
      <c r="C43" s="15" t="s">
        <v>122</v>
      </c>
      <c r="D43" s="39" t="s">
        <v>123</v>
      </c>
      <c r="E43" s="40" t="s">
        <v>106</v>
      </c>
      <c r="F43" s="32" t="s">
        <v>21</v>
      </c>
      <c r="G43" s="33" t="s">
        <v>124</v>
      </c>
      <c r="H43" s="24" t="s">
        <v>125</v>
      </c>
      <c r="I43" s="35" t="str">
        <f>+MID(ListaPreciosProductos35234[[#This Row],[Precio PVP]],1,5)</f>
        <v xml:space="preserve">6,95 </v>
      </c>
      <c r="J43" s="25" t="s">
        <v>24</v>
      </c>
      <c r="K43" s="26">
        <f t="shared" si="3"/>
        <v>0.43</v>
      </c>
      <c r="L43" s="25">
        <f>+ROUND(ListaPreciosProductos35234[[#This Row],[Columna1]]*(1-ListaPreciosProductos35234[[#This Row],[Descuento2]]),2)</f>
        <v>3.96</v>
      </c>
      <c r="M43" s="25" t="str">
        <f>+ListaPreciosProductos35234[[#This Row],[Precio Neto]]&amp;" "&amp;ListaPreciosProductos35234[[#This Row],[Columna2]]</f>
        <v>3,96 €/m2</v>
      </c>
    </row>
    <row r="44" spans="2:13" ht="27" x14ac:dyDescent="0.25">
      <c r="B44" s="30" t="s">
        <v>126</v>
      </c>
      <c r="C44" s="15" t="s">
        <v>127</v>
      </c>
      <c r="D44" s="39" t="s">
        <v>123</v>
      </c>
      <c r="E44" s="40" t="s">
        <v>106</v>
      </c>
      <c r="F44" s="32" t="s">
        <v>21</v>
      </c>
      <c r="G44" s="33" t="s">
        <v>124</v>
      </c>
      <c r="H44" s="24" t="s">
        <v>125</v>
      </c>
      <c r="I44" s="35" t="str">
        <f>+MID(ListaPreciosProductos35234[[#This Row],[Precio PVP]],1,5)</f>
        <v xml:space="preserve">6,95 </v>
      </c>
      <c r="J44" s="25" t="s">
        <v>24</v>
      </c>
      <c r="K44" s="26">
        <f t="shared" si="3"/>
        <v>0.43</v>
      </c>
      <c r="L44" s="25">
        <f>+ROUND(ListaPreciosProductos35234[[#This Row],[Columna1]]*(1-ListaPreciosProductos35234[[#This Row],[Descuento2]]),2)</f>
        <v>3.96</v>
      </c>
      <c r="M44" s="25" t="str">
        <f>+ListaPreciosProductos35234[[#This Row],[Precio Neto]]&amp;" "&amp;ListaPreciosProductos35234[[#This Row],[Columna2]]</f>
        <v>3,96 €/m2</v>
      </c>
    </row>
    <row r="45" spans="2:13" ht="27" x14ac:dyDescent="0.25">
      <c r="B45" s="30" t="s">
        <v>128</v>
      </c>
      <c r="C45" s="15" t="s">
        <v>129</v>
      </c>
      <c r="D45" s="39" t="s">
        <v>130</v>
      </c>
      <c r="E45" s="40" t="s">
        <v>106</v>
      </c>
      <c r="F45" s="32" t="s">
        <v>21</v>
      </c>
      <c r="G45" s="33" t="s">
        <v>131</v>
      </c>
      <c r="H45" s="24" t="s">
        <v>132</v>
      </c>
      <c r="I45" s="35" t="str">
        <f>+MID(ListaPreciosProductos35234[[#This Row],[Precio PVP]],1,5)</f>
        <v xml:space="preserve">7,45 </v>
      </c>
      <c r="J45" s="25" t="s">
        <v>24</v>
      </c>
      <c r="K45" s="26">
        <f t="shared" si="3"/>
        <v>0.43</v>
      </c>
      <c r="L45" s="25">
        <f>+ROUND(ListaPreciosProductos35234[[#This Row],[Columna1]]*(1-ListaPreciosProductos35234[[#This Row],[Descuento2]]),2)</f>
        <v>4.25</v>
      </c>
      <c r="M45" s="25" t="str">
        <f>+ListaPreciosProductos35234[[#This Row],[Precio Neto]]&amp;" "&amp;ListaPreciosProductos35234[[#This Row],[Columna2]]</f>
        <v>4,25 €/m2</v>
      </c>
    </row>
    <row r="46" spans="2:13" ht="27" x14ac:dyDescent="0.25">
      <c r="B46" s="41" t="s">
        <v>133</v>
      </c>
      <c r="C46" s="42" t="s">
        <v>134</v>
      </c>
      <c r="D46" s="43" t="s">
        <v>130</v>
      </c>
      <c r="E46" s="44" t="s">
        <v>106</v>
      </c>
      <c r="F46" s="45" t="s">
        <v>21</v>
      </c>
      <c r="G46" s="46" t="s">
        <v>131</v>
      </c>
      <c r="H46" s="24" t="s">
        <v>132</v>
      </c>
      <c r="I46" s="35" t="str">
        <f>+MID(ListaPreciosProductos35234[[#This Row],[Precio PVP]],1,5)</f>
        <v xml:space="preserve">7,45 </v>
      </c>
      <c r="J46" s="25" t="s">
        <v>24</v>
      </c>
      <c r="K46" s="26">
        <f t="shared" si="3"/>
        <v>0.43</v>
      </c>
      <c r="L46" s="25">
        <f>+ROUND(ListaPreciosProductos35234[[#This Row],[Columna1]]*(1-ListaPreciosProductos35234[[#This Row],[Descuento2]]),2)</f>
        <v>4.25</v>
      </c>
      <c r="M46" s="25" t="str">
        <f>+ListaPreciosProductos35234[[#This Row],[Precio Neto]]&amp;" "&amp;ListaPreciosProductos35234[[#This Row],[Columna2]]</f>
        <v>4,25 €/m2</v>
      </c>
    </row>
    <row r="47" spans="2:13" ht="10.5" customHeight="1" x14ac:dyDescent="0.25">
      <c r="J47" s="37"/>
      <c r="K47" s="37"/>
      <c r="L47" s="37"/>
      <c r="M47" s="37"/>
    </row>
    <row r="48" spans="2:13" ht="10.5" customHeight="1" x14ac:dyDescent="0.25">
      <c r="J48" s="37"/>
      <c r="K48" s="37"/>
      <c r="L48" s="37"/>
      <c r="M48" s="37"/>
    </row>
    <row r="49" spans="2:13" ht="10.5" customHeight="1" x14ac:dyDescent="0.25">
      <c r="J49" s="37"/>
      <c r="K49" s="37"/>
      <c r="L49" s="37"/>
      <c r="M49" s="37"/>
    </row>
    <row r="50" spans="2:13" ht="10.5" customHeight="1" x14ac:dyDescent="0.25">
      <c r="J50" s="37"/>
      <c r="K50" s="37"/>
      <c r="L50" s="37"/>
      <c r="M50" s="37"/>
    </row>
    <row r="51" spans="2:13" ht="21" customHeight="1" x14ac:dyDescent="0.25">
      <c r="B51" s="138" t="s">
        <v>135</v>
      </c>
      <c r="C51" s="138"/>
      <c r="D51" s="138"/>
      <c r="E51" s="12"/>
      <c r="F51" s="12"/>
      <c r="G51" s="13"/>
    </row>
    <row r="52" spans="2:13" ht="27" customHeight="1" x14ac:dyDescent="0.25">
      <c r="B52" s="20" t="s">
        <v>5</v>
      </c>
      <c r="C52" s="20" t="s">
        <v>6</v>
      </c>
      <c r="D52" s="20" t="s">
        <v>7</v>
      </c>
      <c r="E52" s="20" t="s">
        <v>8</v>
      </c>
      <c r="F52" s="21" t="s">
        <v>9</v>
      </c>
      <c r="G52" s="22" t="s">
        <v>10</v>
      </c>
      <c r="H52" s="22" t="s">
        <v>11</v>
      </c>
      <c r="I52" s="20" t="s">
        <v>12</v>
      </c>
      <c r="J52" s="20" t="s">
        <v>13</v>
      </c>
      <c r="K52" s="20" t="s">
        <v>14</v>
      </c>
      <c r="L52" s="20" t="s">
        <v>15</v>
      </c>
      <c r="M52" s="20" t="s">
        <v>16</v>
      </c>
    </row>
    <row r="53" spans="2:13" ht="35.450000000000003" customHeight="1" x14ac:dyDescent="0.25">
      <c r="B53" s="14" t="s">
        <v>136</v>
      </c>
      <c r="C53" s="15" t="s">
        <v>137</v>
      </c>
      <c r="D53" s="16" t="s">
        <v>138</v>
      </c>
      <c r="E53" s="32" t="s">
        <v>139</v>
      </c>
      <c r="F53" s="32" t="s">
        <v>21</v>
      </c>
      <c r="G53" s="23" t="s">
        <v>140</v>
      </c>
      <c r="H53" s="38" t="s">
        <v>141</v>
      </c>
      <c r="I53" s="35" t="str">
        <f>+MID(ListaPreciosProductos418[[#This Row],[Precio PVP]],1,5)</f>
        <v xml:space="preserve">5,05 </v>
      </c>
      <c r="J53" s="25" t="s">
        <v>24</v>
      </c>
      <c r="K53" s="26">
        <f t="shared" ref="K53:K65" si="4">+$H$7</f>
        <v>0.43</v>
      </c>
      <c r="L53" s="27">
        <f>+ROUND(ListaPreciosProductos418[[#This Row],[Columna1]]*(1-ListaPreciosProductos418[[#This Row],[Descuento2]]),2)</f>
        <v>2.88</v>
      </c>
      <c r="M53" s="25" t="str">
        <f>+ListaPreciosProductos418[[#This Row],[Precio Neto]]&amp;" "&amp;ListaPreciosProductos418[[#This Row],[Columna2]]</f>
        <v>2,88 €/m2</v>
      </c>
    </row>
    <row r="54" spans="2:13" ht="35.450000000000003" customHeight="1" x14ac:dyDescent="0.25">
      <c r="B54" s="14" t="s">
        <v>142</v>
      </c>
      <c r="C54" s="15" t="s">
        <v>143</v>
      </c>
      <c r="D54" s="16" t="s">
        <v>138</v>
      </c>
      <c r="E54" s="32" t="s">
        <v>144</v>
      </c>
      <c r="F54" s="32" t="s">
        <v>21</v>
      </c>
      <c r="G54" s="23" t="s">
        <v>145</v>
      </c>
      <c r="H54" s="38" t="s">
        <v>146</v>
      </c>
      <c r="I54" s="35" t="str">
        <f>+MID(ListaPreciosProductos418[[#This Row],[Precio PVP]],1,5)</f>
        <v xml:space="preserve">5,85 </v>
      </c>
      <c r="J54" s="25" t="s">
        <v>24</v>
      </c>
      <c r="K54" s="26">
        <f t="shared" si="4"/>
        <v>0.43</v>
      </c>
      <c r="L54" s="47">
        <f>+ROUND(ListaPreciosProductos418[[#This Row],[Columna1]]*(1-ListaPreciosProductos418[[#This Row],[Descuento2]]),2)</f>
        <v>3.33</v>
      </c>
      <c r="M54" s="25" t="str">
        <f>+ListaPreciosProductos418[[#This Row],[Precio Neto]]&amp;" "&amp;ListaPreciosProductos418[[#This Row],[Columna2]]</f>
        <v>3,33 €/m2</v>
      </c>
    </row>
    <row r="55" spans="2:13" ht="35.450000000000003" customHeight="1" x14ac:dyDescent="0.25">
      <c r="B55" s="14" t="s">
        <v>147</v>
      </c>
      <c r="C55" s="15" t="s">
        <v>148</v>
      </c>
      <c r="D55" s="16" t="s">
        <v>138</v>
      </c>
      <c r="E55" s="32" t="s">
        <v>41</v>
      </c>
      <c r="F55" s="32" t="s">
        <v>21</v>
      </c>
      <c r="G55" s="23" t="s">
        <v>149</v>
      </c>
      <c r="H55" s="24" t="s">
        <v>150</v>
      </c>
      <c r="I55" s="35" t="str">
        <f>+MID(ListaPreciosProductos418[[#This Row],[Precio PVP]],1,5)</f>
        <v xml:space="preserve">5,50 </v>
      </c>
      <c r="J55" s="25" t="s">
        <v>24</v>
      </c>
      <c r="K55" s="26">
        <f t="shared" si="4"/>
        <v>0.43</v>
      </c>
      <c r="L55" s="47">
        <f>+ROUND(ListaPreciosProductos418[[#This Row],[Columna1]]*(1-ListaPreciosProductos418[[#This Row],[Descuento2]]),2)</f>
        <v>3.14</v>
      </c>
      <c r="M55" s="25" t="str">
        <f>+ListaPreciosProductos418[[#This Row],[Precio Neto]]&amp;" "&amp;ListaPreciosProductos418[[#This Row],[Columna2]]</f>
        <v>3,14 €/m2</v>
      </c>
    </row>
    <row r="56" spans="2:13" ht="35.450000000000003" customHeight="1" x14ac:dyDescent="0.25">
      <c r="B56" s="30" t="s">
        <v>151</v>
      </c>
      <c r="C56" s="15" t="s">
        <v>152</v>
      </c>
      <c r="D56" s="16" t="s">
        <v>153</v>
      </c>
      <c r="E56" s="32" t="s">
        <v>41</v>
      </c>
      <c r="F56" s="32" t="s">
        <v>21</v>
      </c>
      <c r="G56" s="23" t="s">
        <v>149</v>
      </c>
      <c r="H56" s="24" t="s">
        <v>37</v>
      </c>
      <c r="I56" s="35" t="str">
        <f>+MID(ListaPreciosProductos418[[#This Row],[Precio PVP]],1,5)</f>
        <v xml:space="preserve">6,60 </v>
      </c>
      <c r="J56" s="25" t="s">
        <v>24</v>
      </c>
      <c r="K56" s="26">
        <f t="shared" si="4"/>
        <v>0.43</v>
      </c>
      <c r="L56" s="47">
        <f>+ROUND(ListaPreciosProductos418[[#This Row],[Columna1]]*(1-ListaPreciosProductos418[[#This Row],[Descuento2]]),2)</f>
        <v>3.76</v>
      </c>
      <c r="M56" s="25" t="str">
        <f>+ListaPreciosProductos418[[#This Row],[Precio Neto]]&amp;" "&amp;ListaPreciosProductos418[[#This Row],[Columna2]]</f>
        <v>3,76 €/m2</v>
      </c>
    </row>
    <row r="57" spans="2:13" ht="35.450000000000003" customHeight="1" x14ac:dyDescent="0.25">
      <c r="B57" s="30" t="s">
        <v>154</v>
      </c>
      <c r="C57" s="15" t="s">
        <v>155</v>
      </c>
      <c r="D57" s="16" t="s">
        <v>156</v>
      </c>
      <c r="E57" s="32" t="s">
        <v>41</v>
      </c>
      <c r="F57" s="32" t="s">
        <v>21</v>
      </c>
      <c r="G57" s="23" t="s">
        <v>149</v>
      </c>
      <c r="H57" s="24" t="s">
        <v>157</v>
      </c>
      <c r="I57" s="35" t="str">
        <f>+MID(ListaPreciosProductos418[[#This Row],[Precio PVP]],1,5)</f>
        <v>11,15</v>
      </c>
      <c r="J57" s="25" t="s">
        <v>24</v>
      </c>
      <c r="K57" s="26">
        <f t="shared" si="4"/>
        <v>0.43</v>
      </c>
      <c r="L57" s="47">
        <f>+ROUND(ListaPreciosProductos418[[#This Row],[Columna1]]*(1-ListaPreciosProductos418[[#This Row],[Descuento2]]),2)</f>
        <v>6.36</v>
      </c>
      <c r="M57" s="25" t="str">
        <f>+ListaPreciosProductos418[[#This Row],[Precio Neto]]&amp;" "&amp;ListaPreciosProductos418[[#This Row],[Columna2]]</f>
        <v>6,36 €/m2</v>
      </c>
    </row>
    <row r="58" spans="2:13" ht="35.450000000000003" customHeight="1" x14ac:dyDescent="0.25">
      <c r="B58" s="30" t="s">
        <v>158</v>
      </c>
      <c r="C58" s="15" t="s">
        <v>159</v>
      </c>
      <c r="D58" s="16" t="s">
        <v>160</v>
      </c>
      <c r="E58" s="32" t="s">
        <v>161</v>
      </c>
      <c r="F58" s="32" t="s">
        <v>21</v>
      </c>
      <c r="G58" s="18" t="s">
        <v>162</v>
      </c>
      <c r="H58" s="24" t="s">
        <v>163</v>
      </c>
      <c r="I58" s="35" t="str">
        <f>+MID(ListaPreciosProductos418[[#This Row],[Precio PVP]],1,5)</f>
        <v xml:space="preserve">9,80 </v>
      </c>
      <c r="J58" s="25" t="s">
        <v>24</v>
      </c>
      <c r="K58" s="26">
        <f t="shared" si="4"/>
        <v>0.43</v>
      </c>
      <c r="L58" s="47">
        <f>+ROUND(ListaPreciosProductos418[[#This Row],[Columna1]]*(1-ListaPreciosProductos418[[#This Row],[Descuento2]]),2)</f>
        <v>5.59</v>
      </c>
      <c r="M58" s="25" t="str">
        <f>+ListaPreciosProductos418[[#This Row],[Precio Neto]]&amp;" "&amp;ListaPreciosProductos418[[#This Row],[Columna2]]</f>
        <v>5,59 €/m2</v>
      </c>
    </row>
    <row r="59" spans="2:13" ht="35.450000000000003" customHeight="1" x14ac:dyDescent="0.25">
      <c r="B59" s="30" t="s">
        <v>164</v>
      </c>
      <c r="C59" s="15" t="s">
        <v>165</v>
      </c>
      <c r="D59" s="16" t="s">
        <v>166</v>
      </c>
      <c r="E59" s="32" t="s">
        <v>161</v>
      </c>
      <c r="F59" s="32" t="s">
        <v>21</v>
      </c>
      <c r="G59" s="18" t="s">
        <v>162</v>
      </c>
      <c r="H59" s="24" t="s">
        <v>157</v>
      </c>
      <c r="I59" s="35" t="str">
        <f>+MID(ListaPreciosProductos418[[#This Row],[Precio PVP]],1,5)</f>
        <v>11,15</v>
      </c>
      <c r="J59" s="25" t="s">
        <v>24</v>
      </c>
      <c r="K59" s="26">
        <f t="shared" si="4"/>
        <v>0.43</v>
      </c>
      <c r="L59" s="47">
        <f>+ROUND(ListaPreciosProductos418[[#This Row],[Columna1]]*(1-ListaPreciosProductos418[[#This Row],[Descuento2]]),2)</f>
        <v>6.36</v>
      </c>
      <c r="M59" s="25" t="str">
        <f>+ListaPreciosProductos418[[#This Row],[Precio Neto]]&amp;" "&amp;ListaPreciosProductos418[[#This Row],[Columna2]]</f>
        <v>6,36 €/m2</v>
      </c>
    </row>
    <row r="60" spans="2:13" ht="35.450000000000003" customHeight="1" x14ac:dyDescent="0.25">
      <c r="B60" s="14" t="s">
        <v>167</v>
      </c>
      <c r="C60" s="15" t="s">
        <v>168</v>
      </c>
      <c r="D60" s="16" t="s">
        <v>169</v>
      </c>
      <c r="E60" s="32" t="s">
        <v>161</v>
      </c>
      <c r="F60" s="32" t="s">
        <v>21</v>
      </c>
      <c r="G60" s="18" t="s">
        <v>162</v>
      </c>
      <c r="H60" s="24" t="s">
        <v>170</v>
      </c>
      <c r="I60" s="35" t="str">
        <f>+MID(ListaPreciosProductos418[[#This Row],[Precio PVP]],1,5)</f>
        <v>14,20</v>
      </c>
      <c r="J60" s="25" t="s">
        <v>24</v>
      </c>
      <c r="K60" s="26">
        <f t="shared" si="4"/>
        <v>0.43</v>
      </c>
      <c r="L60" s="47">
        <f>+ROUND(ListaPreciosProductos418[[#This Row],[Columna1]]*(1-ListaPreciosProductos418[[#This Row],[Descuento2]]),2)</f>
        <v>8.09</v>
      </c>
      <c r="M60" s="25" t="str">
        <f>+ListaPreciosProductos418[[#This Row],[Precio Neto]]&amp;" "&amp;ListaPreciosProductos418[[#This Row],[Columna2]]</f>
        <v>8,09 €/m2</v>
      </c>
    </row>
    <row r="61" spans="2:13" ht="35.450000000000003" customHeight="1" x14ac:dyDescent="0.25">
      <c r="B61" s="14" t="s">
        <v>171</v>
      </c>
      <c r="C61" s="15" t="s">
        <v>172</v>
      </c>
      <c r="D61" s="16" t="s">
        <v>173</v>
      </c>
      <c r="E61" s="32" t="s">
        <v>41</v>
      </c>
      <c r="F61" s="32" t="s">
        <v>21</v>
      </c>
      <c r="G61" s="18" t="s">
        <v>42</v>
      </c>
      <c r="H61" s="24" t="s">
        <v>174</v>
      </c>
      <c r="I61" s="35" t="str">
        <f>+MID(ListaPreciosProductos418[[#This Row],[Precio PVP]],1,5)</f>
        <v>15,05</v>
      </c>
      <c r="J61" s="25" t="s">
        <v>24</v>
      </c>
      <c r="K61" s="26">
        <f t="shared" si="4"/>
        <v>0.43</v>
      </c>
      <c r="L61" s="47">
        <f>+ROUND(ListaPreciosProductos418[[#This Row],[Columna1]]*(1-ListaPreciosProductos418[[#This Row],[Descuento2]]),2)</f>
        <v>8.58</v>
      </c>
      <c r="M61" s="25" t="str">
        <f>+ListaPreciosProductos418[[#This Row],[Precio Neto]]&amp;" "&amp;ListaPreciosProductos418[[#This Row],[Columna2]]</f>
        <v>8,58 €/m2</v>
      </c>
    </row>
    <row r="62" spans="2:13" ht="35.450000000000003" customHeight="1" x14ac:dyDescent="0.25">
      <c r="B62" s="14" t="s">
        <v>175</v>
      </c>
      <c r="C62" s="15" t="s">
        <v>176</v>
      </c>
      <c r="D62" s="16" t="s">
        <v>177</v>
      </c>
      <c r="E62" s="32" t="s">
        <v>139</v>
      </c>
      <c r="F62" s="32" t="s">
        <v>21</v>
      </c>
      <c r="G62" s="23" t="s">
        <v>140</v>
      </c>
      <c r="H62" s="24" t="s">
        <v>178</v>
      </c>
      <c r="I62" s="35" t="str">
        <f>+MID(ListaPreciosProductos418[[#This Row],[Precio PVP]],1,5)</f>
        <v xml:space="preserve">4,80 </v>
      </c>
      <c r="J62" s="25" t="s">
        <v>24</v>
      </c>
      <c r="K62" s="26">
        <f t="shared" si="4"/>
        <v>0.43</v>
      </c>
      <c r="L62" s="47">
        <f>+ROUND(ListaPreciosProductos418[[#This Row],[Columna1]]*(1-ListaPreciosProductos418[[#This Row],[Descuento2]]),2)</f>
        <v>2.74</v>
      </c>
      <c r="M62" s="25" t="str">
        <f>+ListaPreciosProductos418[[#This Row],[Precio Neto]]&amp;" "&amp;ListaPreciosProductos418[[#This Row],[Columna2]]</f>
        <v>2,74 €/m2</v>
      </c>
    </row>
    <row r="63" spans="2:13" ht="35.450000000000003" customHeight="1" x14ac:dyDescent="0.25">
      <c r="B63" s="14" t="s">
        <v>179</v>
      </c>
      <c r="C63" s="15" t="s">
        <v>180</v>
      </c>
      <c r="D63" s="16" t="s">
        <v>181</v>
      </c>
      <c r="E63" s="32" t="s">
        <v>139</v>
      </c>
      <c r="F63" s="32" t="s">
        <v>21</v>
      </c>
      <c r="G63" s="23" t="s">
        <v>140</v>
      </c>
      <c r="H63" s="24" t="s">
        <v>182</v>
      </c>
      <c r="I63" s="35" t="str">
        <f>+MID(ListaPreciosProductos418[[#This Row],[Precio PVP]],1,5)</f>
        <v xml:space="preserve">7,95 </v>
      </c>
      <c r="J63" s="25" t="s">
        <v>24</v>
      </c>
      <c r="K63" s="26">
        <f t="shared" si="4"/>
        <v>0.43</v>
      </c>
      <c r="L63" s="47">
        <f>+ROUND(ListaPreciosProductos418[[#This Row],[Columna1]]*(1-ListaPreciosProductos418[[#This Row],[Descuento2]]),2)</f>
        <v>4.53</v>
      </c>
      <c r="M63" s="25" t="str">
        <f>+ListaPreciosProductos418[[#This Row],[Precio Neto]]&amp;" "&amp;ListaPreciosProductos418[[#This Row],[Columna2]]</f>
        <v>4,53 €/m2</v>
      </c>
    </row>
    <row r="64" spans="2:13" ht="35.450000000000003" customHeight="1" x14ac:dyDescent="0.25">
      <c r="B64" s="14" t="s">
        <v>183</v>
      </c>
      <c r="C64" s="15" t="s">
        <v>184</v>
      </c>
      <c r="D64" s="16" t="s">
        <v>185</v>
      </c>
      <c r="E64" s="32" t="s">
        <v>186</v>
      </c>
      <c r="F64" s="32" t="s">
        <v>187</v>
      </c>
      <c r="G64" s="18" t="s">
        <v>188</v>
      </c>
      <c r="H64" s="24" t="s">
        <v>189</v>
      </c>
      <c r="I64" s="35" t="str">
        <f>+MID(ListaPreciosProductos418[[#This Row],[Precio PVP]],1,5)</f>
        <v xml:space="preserve">6,25 </v>
      </c>
      <c r="J64" s="25" t="s">
        <v>190</v>
      </c>
      <c r="K64" s="26">
        <f t="shared" si="4"/>
        <v>0.43</v>
      </c>
      <c r="L64" s="47">
        <f>+ROUND(ListaPreciosProductos418[[#This Row],[Columna1]]*(1-ListaPreciosProductos418[[#This Row],[Descuento2]]),2)</f>
        <v>3.56</v>
      </c>
      <c r="M64" s="25" t="str">
        <f>+ListaPreciosProductos418[[#This Row],[Precio Neto]]&amp;" "&amp;ListaPreciosProductos418[[#This Row],[Columna2]]</f>
        <v>3,56 €/mL</v>
      </c>
    </row>
    <row r="65" spans="2:13" ht="35.450000000000003" customHeight="1" x14ac:dyDescent="0.25">
      <c r="B65" s="14" t="s">
        <v>191</v>
      </c>
      <c r="C65" s="15" t="s">
        <v>192</v>
      </c>
      <c r="D65" s="16" t="s">
        <v>193</v>
      </c>
      <c r="E65" s="32" t="s">
        <v>186</v>
      </c>
      <c r="F65" s="32" t="s">
        <v>187</v>
      </c>
      <c r="G65" s="18" t="s">
        <v>188</v>
      </c>
      <c r="H65" s="24" t="s">
        <v>194</v>
      </c>
      <c r="I65" s="35" t="str">
        <f>+MID(ListaPreciosProductos418[[#This Row],[Precio PVP]],1,5)</f>
        <v xml:space="preserve">9,20 </v>
      </c>
      <c r="J65" s="25" t="s">
        <v>190</v>
      </c>
      <c r="K65" s="26">
        <f t="shared" si="4"/>
        <v>0.43</v>
      </c>
      <c r="L65" s="47">
        <f>+ROUND(ListaPreciosProductos418[[#This Row],[Columna1]]*(1-ListaPreciosProductos418[[#This Row],[Descuento2]]),2)</f>
        <v>5.24</v>
      </c>
      <c r="M65" s="25" t="str">
        <f>+ListaPreciosProductos418[[#This Row],[Precio Neto]]&amp;" "&amp;ListaPreciosProductos418[[#This Row],[Columna2]]</f>
        <v>5,24 €/mL</v>
      </c>
    </row>
    <row r="66" spans="2:13" ht="6" customHeight="1" x14ac:dyDescent="0.25">
      <c r="B66" s="14"/>
      <c r="C66" s="15"/>
      <c r="D66" s="16"/>
      <c r="E66" s="32"/>
      <c r="F66" s="32"/>
      <c r="G66" s="18"/>
      <c r="H66" s="38"/>
      <c r="I66" s="35"/>
      <c r="J66" s="25"/>
      <c r="K66" s="26"/>
      <c r="L66" s="47"/>
      <c r="M66" s="25"/>
    </row>
    <row r="67" spans="2:13" ht="21" customHeight="1" x14ac:dyDescent="0.25">
      <c r="B67" s="138" t="s">
        <v>195</v>
      </c>
      <c r="C67" s="138"/>
      <c r="D67" s="138"/>
      <c r="E67" s="12"/>
      <c r="F67" s="12"/>
      <c r="G67" s="13"/>
    </row>
    <row r="68" spans="2:13" ht="26.25" customHeight="1" x14ac:dyDescent="0.25">
      <c r="B68" s="48" t="s">
        <v>5</v>
      </c>
      <c r="C68" s="48" t="s">
        <v>6</v>
      </c>
      <c r="D68" s="48" t="s">
        <v>7</v>
      </c>
      <c r="E68" s="48" t="s">
        <v>8</v>
      </c>
      <c r="F68" s="49" t="s">
        <v>9</v>
      </c>
      <c r="G68" s="50" t="s">
        <v>10</v>
      </c>
      <c r="H68" s="51" t="s">
        <v>11</v>
      </c>
      <c r="I68" s="48" t="s">
        <v>12</v>
      </c>
      <c r="J68" s="48" t="s">
        <v>13</v>
      </c>
      <c r="K68" s="48" t="s">
        <v>14</v>
      </c>
      <c r="L68" s="48" t="s">
        <v>15</v>
      </c>
      <c r="M68" s="48" t="s">
        <v>16</v>
      </c>
    </row>
    <row r="69" spans="2:13" ht="29.25" hidden="1" customHeight="1" x14ac:dyDescent="0.25">
      <c r="B69" s="52" t="s">
        <v>196</v>
      </c>
      <c r="C69" s="53" t="s">
        <v>197</v>
      </c>
      <c r="D69" s="54" t="s">
        <v>198</v>
      </c>
      <c r="E69" s="55" t="s">
        <v>161</v>
      </c>
      <c r="F69" s="55" t="s">
        <v>21</v>
      </c>
      <c r="G69" s="33" t="s">
        <v>162</v>
      </c>
      <c r="H69" s="24" t="s">
        <v>199</v>
      </c>
      <c r="I69" s="56" t="str">
        <f>+MID(ListaPreciosProductos624[[#This Row],[Precio PVP]],1,5)</f>
        <v>10,50</v>
      </c>
      <c r="J69" s="57" t="s">
        <v>24</v>
      </c>
      <c r="K69" s="58">
        <f t="shared" ref="K69:K70" si="5">+$H$7</f>
        <v>0.43</v>
      </c>
      <c r="L69" s="59">
        <f>+ROUND(ListaPreciosProductos624[[#This Row],[Columna1]]*(1-ListaPreciosProductos624[[#This Row],[Descuento2]]),2)</f>
        <v>5.99</v>
      </c>
      <c r="M69" s="57" t="str">
        <f>+ListaPreciosProductos624[[#This Row],[Precio Neto]]&amp;" "&amp;ListaPreciosProductos624[[#This Row],[Columna2]]</f>
        <v>5,99 €/m2</v>
      </c>
    </row>
    <row r="70" spans="2:13" ht="28.5" customHeight="1" x14ac:dyDescent="0.25">
      <c r="B70" s="60" t="s">
        <v>200</v>
      </c>
      <c r="C70" s="61" t="s">
        <v>201</v>
      </c>
      <c r="D70" s="62" t="s">
        <v>202</v>
      </c>
      <c r="E70" s="63" t="s">
        <v>41</v>
      </c>
      <c r="F70" s="63" t="s">
        <v>21</v>
      </c>
      <c r="G70" s="64" t="s">
        <v>149</v>
      </c>
      <c r="H70" s="65" t="s">
        <v>203</v>
      </c>
      <c r="I70" s="56" t="str">
        <f>+MID(ListaPreciosProductos624[[#This Row],[Precio PVP]],1,5)</f>
        <v xml:space="preserve">3,45 </v>
      </c>
      <c r="J70" s="57" t="s">
        <v>24</v>
      </c>
      <c r="K70" s="58">
        <f t="shared" si="5"/>
        <v>0.43</v>
      </c>
      <c r="L70" s="57">
        <f>+ROUND(ListaPreciosProductos624[[#This Row],[Columna1]]*(1-ListaPreciosProductos624[[#This Row],[Descuento2]]),2)</f>
        <v>1.97</v>
      </c>
      <c r="M70" s="57" t="str">
        <f>+ListaPreciosProductos624[[#This Row],[Precio Neto]]&amp;" "&amp;ListaPreciosProductos624[[#This Row],[Columna2]]</f>
        <v>1,97 €/m2</v>
      </c>
    </row>
    <row r="71" spans="2:13" ht="9" customHeight="1" x14ac:dyDescent="0.25">
      <c r="B71" s="14"/>
      <c r="C71" s="15"/>
      <c r="D71" s="16"/>
      <c r="E71" s="32"/>
      <c r="F71" s="32"/>
      <c r="G71" s="18"/>
      <c r="H71" s="19"/>
      <c r="I71" s="19"/>
    </row>
    <row r="72" spans="2:13" ht="2.4500000000000002" customHeight="1" x14ac:dyDescent="0.25">
      <c r="B72" s="9"/>
      <c r="C72" s="9"/>
      <c r="D72" s="9"/>
      <c r="E72" s="9"/>
      <c r="F72" s="9"/>
      <c r="G72" s="9"/>
      <c r="H72" s="9"/>
      <c r="I72" s="9"/>
    </row>
    <row r="73" spans="2:13" ht="17.100000000000001" customHeight="1" x14ac:dyDescent="0.25">
      <c r="B73" s="4"/>
      <c r="C73" s="4"/>
      <c r="D73" s="5"/>
      <c r="E73" s="5"/>
      <c r="F73" s="5"/>
      <c r="G73" s="66"/>
    </row>
    <row r="74" spans="2:13" ht="17.100000000000001" customHeight="1" x14ac:dyDescent="0.25">
      <c r="B74" s="6"/>
      <c r="C74" s="6"/>
      <c r="D74" s="135"/>
      <c r="E74" s="135"/>
      <c r="F74" s="135"/>
      <c r="G74" s="135"/>
    </row>
    <row r="75" spans="2:13" ht="8.1" customHeight="1" x14ac:dyDescent="0.25">
      <c r="B75" s="12"/>
      <c r="C75" s="12"/>
      <c r="D75" s="12"/>
      <c r="E75" s="12"/>
      <c r="F75" s="12"/>
      <c r="G75" s="13"/>
    </row>
    <row r="76" spans="2:13" ht="15.75" customHeight="1" x14ac:dyDescent="0.25">
      <c r="B76" s="138" t="s">
        <v>204</v>
      </c>
      <c r="C76" s="138"/>
      <c r="D76" s="138"/>
      <c r="E76" s="12"/>
      <c r="F76" s="12"/>
      <c r="G76" s="13"/>
    </row>
    <row r="77" spans="2:13" ht="6.95" customHeight="1" x14ac:dyDescent="0.25">
      <c r="B77" s="12"/>
      <c r="C77" s="12"/>
      <c r="D77" s="12"/>
      <c r="E77" s="12"/>
      <c r="F77" s="12"/>
      <c r="G77" s="13"/>
    </row>
    <row r="78" spans="2:13" ht="27" customHeight="1" x14ac:dyDescent="0.25">
      <c r="B78" s="67" t="s">
        <v>5</v>
      </c>
      <c r="C78" s="67" t="s">
        <v>6</v>
      </c>
      <c r="D78" s="67" t="s">
        <v>7</v>
      </c>
      <c r="E78" s="67" t="s">
        <v>8</v>
      </c>
      <c r="F78" s="68" t="s">
        <v>9</v>
      </c>
      <c r="G78" s="69" t="s">
        <v>10</v>
      </c>
      <c r="H78" s="69" t="s">
        <v>11</v>
      </c>
      <c r="I78" s="70" t="s">
        <v>12</v>
      </c>
      <c r="J78" s="70" t="s">
        <v>13</v>
      </c>
      <c r="K78" s="70" t="s">
        <v>14</v>
      </c>
      <c r="L78" s="70" t="s">
        <v>15</v>
      </c>
      <c r="M78" s="70" t="s">
        <v>16</v>
      </c>
    </row>
    <row r="79" spans="2:13" ht="30" customHeight="1" x14ac:dyDescent="0.25">
      <c r="B79" s="14" t="s">
        <v>205</v>
      </c>
      <c r="C79" s="15" t="s">
        <v>206</v>
      </c>
      <c r="D79" s="16" t="s">
        <v>207</v>
      </c>
      <c r="E79" s="16" t="s">
        <v>208</v>
      </c>
      <c r="F79" s="32" t="s">
        <v>21</v>
      </c>
      <c r="G79" s="18" t="s">
        <v>209</v>
      </c>
      <c r="H79" s="38" t="s">
        <v>210</v>
      </c>
      <c r="I79" s="35" t="str">
        <f>+MID(ListaPreciosProductos725[[#This Row],[Precio PVP]],1,5)</f>
        <v xml:space="preserve">9,25 </v>
      </c>
      <c r="J79" s="25" t="s">
        <v>24</v>
      </c>
      <c r="K79" s="26">
        <f t="shared" ref="K79:K86" si="6">+$H$7</f>
        <v>0.43</v>
      </c>
      <c r="L79" s="27">
        <f>+ROUND(ListaPreciosProductos725[[#This Row],[Columna1]]*(1-ListaPreciosProductos725[[#This Row],[Descuento2]]),2)</f>
        <v>5.27</v>
      </c>
      <c r="M79" s="25" t="str">
        <f>+ListaPreciosProductos725[[#This Row],[Precio Neto]]&amp;" "&amp;ListaPreciosProductos725[[#This Row],[Columna2]]</f>
        <v>5,27 €/m2</v>
      </c>
    </row>
    <row r="80" spans="2:13" ht="30" customHeight="1" x14ac:dyDescent="0.25">
      <c r="B80" s="14" t="s">
        <v>211</v>
      </c>
      <c r="C80" s="15" t="s">
        <v>212</v>
      </c>
      <c r="D80" s="16" t="s">
        <v>213</v>
      </c>
      <c r="E80" s="16" t="s">
        <v>208</v>
      </c>
      <c r="F80" s="32" t="s">
        <v>21</v>
      </c>
      <c r="G80" s="18" t="s">
        <v>214</v>
      </c>
      <c r="H80" s="38" t="s">
        <v>215</v>
      </c>
      <c r="I80" s="35" t="str">
        <f>+MID(ListaPreciosProductos725[[#This Row],[Precio PVP]],1,5)</f>
        <v>12,15</v>
      </c>
      <c r="J80" s="25" t="s">
        <v>24</v>
      </c>
      <c r="K80" s="26">
        <f t="shared" si="6"/>
        <v>0.43</v>
      </c>
      <c r="L80" s="25">
        <f>+ROUND(ListaPreciosProductos725[[#This Row],[Columna1]]*(1-ListaPreciosProductos725[[#This Row],[Descuento2]]),2)</f>
        <v>6.93</v>
      </c>
      <c r="M80" s="25" t="str">
        <f>+ListaPreciosProductos725[[#This Row],[Precio Neto]]&amp;" "&amp;ListaPreciosProductos725[[#This Row],[Columna2]]</f>
        <v>6,93 €/m2</v>
      </c>
    </row>
    <row r="81" spans="2:13" ht="30" customHeight="1" x14ac:dyDescent="0.25">
      <c r="B81" s="30" t="s">
        <v>216</v>
      </c>
      <c r="C81" s="15" t="s">
        <v>217</v>
      </c>
      <c r="D81" s="16" t="s">
        <v>218</v>
      </c>
      <c r="E81" s="16" t="s">
        <v>208</v>
      </c>
      <c r="F81" s="32" t="s">
        <v>21</v>
      </c>
      <c r="G81" s="18" t="s">
        <v>219</v>
      </c>
      <c r="H81" s="24" t="s">
        <v>220</v>
      </c>
      <c r="I81" s="35" t="str">
        <f>+MID(ListaPreciosProductos725[[#This Row],[Precio PVP]],1,5)</f>
        <v>18,45</v>
      </c>
      <c r="J81" s="25" t="s">
        <v>24</v>
      </c>
      <c r="K81" s="26">
        <f t="shared" si="6"/>
        <v>0.43</v>
      </c>
      <c r="L81" s="25">
        <f>+ROUND(ListaPreciosProductos725[[#This Row],[Columna1]]*(1-ListaPreciosProductos725[[#This Row],[Descuento2]]),2)</f>
        <v>10.52</v>
      </c>
      <c r="M81" s="25" t="str">
        <f>+ListaPreciosProductos725[[#This Row],[Precio Neto]]&amp;" "&amp;ListaPreciosProductos725[[#This Row],[Columna2]]</f>
        <v>10,52 €/m2</v>
      </c>
    </row>
    <row r="82" spans="2:13" ht="30" customHeight="1" x14ac:dyDescent="0.25">
      <c r="B82" s="30" t="s">
        <v>221</v>
      </c>
      <c r="C82" s="15" t="s">
        <v>222</v>
      </c>
      <c r="D82" s="16" t="s">
        <v>223</v>
      </c>
      <c r="E82" s="16" t="s">
        <v>208</v>
      </c>
      <c r="F82" s="32" t="s">
        <v>21</v>
      </c>
      <c r="G82" s="18" t="s">
        <v>224</v>
      </c>
      <c r="H82" s="24" t="s">
        <v>225</v>
      </c>
      <c r="I82" s="35" t="str">
        <f>+MID(ListaPreciosProductos725[[#This Row],[Precio PVP]],1,5)</f>
        <v>25,00</v>
      </c>
      <c r="J82" s="25" t="s">
        <v>24</v>
      </c>
      <c r="K82" s="26">
        <f t="shared" si="6"/>
        <v>0.43</v>
      </c>
      <c r="L82" s="25">
        <f>+ROUND(ListaPreciosProductos725[[#This Row],[Columna1]]*(1-ListaPreciosProductos725[[#This Row],[Descuento2]]),2)</f>
        <v>14.25</v>
      </c>
      <c r="M82" s="25" t="str">
        <f>+ListaPreciosProductos725[[#This Row],[Precio Neto]]&amp;" "&amp;ListaPreciosProductos725[[#This Row],[Columna2]]</f>
        <v>14,25 €/m2</v>
      </c>
    </row>
    <row r="83" spans="2:13" ht="30" customHeight="1" x14ac:dyDescent="0.25">
      <c r="B83" s="14" t="s">
        <v>226</v>
      </c>
      <c r="C83" s="15" t="s">
        <v>227</v>
      </c>
      <c r="D83" s="16" t="s">
        <v>228</v>
      </c>
      <c r="E83" s="16" t="s">
        <v>208</v>
      </c>
      <c r="F83" s="32" t="s">
        <v>21</v>
      </c>
      <c r="G83" s="18" t="s">
        <v>91</v>
      </c>
      <c r="H83" s="24" t="s">
        <v>229</v>
      </c>
      <c r="I83" s="35" t="str">
        <f>+MID(ListaPreciosProductos725[[#This Row],[Precio PVP]],1,5)</f>
        <v>10,75</v>
      </c>
      <c r="J83" s="25" t="s">
        <v>24</v>
      </c>
      <c r="K83" s="26">
        <f t="shared" si="6"/>
        <v>0.43</v>
      </c>
      <c r="L83" s="25">
        <f>+ROUND(ListaPreciosProductos725[[#This Row],[Columna1]]*(1-ListaPreciosProductos725[[#This Row],[Descuento2]]),2)</f>
        <v>6.13</v>
      </c>
      <c r="M83" s="25" t="str">
        <f>+ListaPreciosProductos725[[#This Row],[Precio Neto]]&amp;" "&amp;ListaPreciosProductos725[[#This Row],[Columna2]]</f>
        <v>6,13 €/m2</v>
      </c>
    </row>
    <row r="84" spans="2:13" ht="30" customHeight="1" x14ac:dyDescent="0.25">
      <c r="B84" s="14" t="s">
        <v>230</v>
      </c>
      <c r="C84" s="15" t="s">
        <v>231</v>
      </c>
      <c r="D84" s="16" t="s">
        <v>232</v>
      </c>
      <c r="E84" s="16" t="s">
        <v>208</v>
      </c>
      <c r="F84" s="32" t="s">
        <v>21</v>
      </c>
      <c r="G84" s="18" t="s">
        <v>209</v>
      </c>
      <c r="H84" s="24" t="s">
        <v>233</v>
      </c>
      <c r="I84" s="35" t="str">
        <f>+MID(ListaPreciosProductos725[[#This Row],[Precio PVP]],1,5)</f>
        <v>16,35</v>
      </c>
      <c r="J84" s="25" t="s">
        <v>24</v>
      </c>
      <c r="K84" s="26">
        <f t="shared" si="6"/>
        <v>0.43</v>
      </c>
      <c r="L84" s="25">
        <f>+ROUND(ListaPreciosProductos725[[#This Row],[Columna1]]*(1-ListaPreciosProductos725[[#This Row],[Descuento2]]),2)</f>
        <v>9.32</v>
      </c>
      <c r="M84" s="25" t="str">
        <f>+ListaPreciosProductos725[[#This Row],[Precio Neto]]&amp;" "&amp;ListaPreciosProductos725[[#This Row],[Columna2]]</f>
        <v>9,32 €/m2</v>
      </c>
    </row>
    <row r="85" spans="2:13" ht="30" customHeight="1" x14ac:dyDescent="0.25">
      <c r="B85" s="14" t="s">
        <v>234</v>
      </c>
      <c r="C85" s="15" t="s">
        <v>235</v>
      </c>
      <c r="D85" s="16" t="s">
        <v>236</v>
      </c>
      <c r="E85" s="16" t="s">
        <v>208</v>
      </c>
      <c r="F85" s="32" t="s">
        <v>21</v>
      </c>
      <c r="G85" s="18" t="s">
        <v>91</v>
      </c>
      <c r="H85" s="24" t="s">
        <v>237</v>
      </c>
      <c r="I85" s="35" t="str">
        <f>+MID(ListaPreciosProductos725[[#This Row],[Precio PVP]],1,5)</f>
        <v>13,80</v>
      </c>
      <c r="J85" s="25" t="s">
        <v>24</v>
      </c>
      <c r="K85" s="26">
        <f t="shared" si="6"/>
        <v>0.43</v>
      </c>
      <c r="L85" s="25">
        <f>+ROUND(ListaPreciosProductos725[[#This Row],[Columna1]]*(1-ListaPreciosProductos725[[#This Row],[Descuento2]]),2)</f>
        <v>7.87</v>
      </c>
      <c r="M85" s="25" t="str">
        <f>+ListaPreciosProductos725[[#This Row],[Precio Neto]]&amp;" "&amp;ListaPreciosProductos725[[#This Row],[Columna2]]</f>
        <v>7,87 €/m2</v>
      </c>
    </row>
    <row r="86" spans="2:13" ht="30" customHeight="1" x14ac:dyDescent="0.25">
      <c r="B86" s="14" t="s">
        <v>238</v>
      </c>
      <c r="C86" s="15" t="s">
        <v>239</v>
      </c>
      <c r="D86" s="16" t="s">
        <v>240</v>
      </c>
      <c r="E86" s="16" t="s">
        <v>241</v>
      </c>
      <c r="F86" s="32" t="s">
        <v>21</v>
      </c>
      <c r="G86" s="18" t="s">
        <v>579</v>
      </c>
      <c r="H86" s="24" t="s">
        <v>242</v>
      </c>
      <c r="I86" s="35" t="str">
        <f>+MID(ListaPreciosProductos725[[#This Row],[Precio PVP]],1,5)</f>
        <v>13,25</v>
      </c>
      <c r="J86" s="25" t="s">
        <v>24</v>
      </c>
      <c r="K86" s="26">
        <f t="shared" si="6"/>
        <v>0.43</v>
      </c>
      <c r="L86" s="25">
        <f>+ROUND(ListaPreciosProductos725[[#This Row],[Columna1]]*(1-ListaPreciosProductos725[[#This Row],[Descuento2]]),2)</f>
        <v>7.55</v>
      </c>
      <c r="M86" s="25" t="str">
        <f>+ListaPreciosProductos725[[#This Row],[Precio Neto]]&amp;" "&amp;ListaPreciosProductos725[[#This Row],[Columna2]]</f>
        <v>7,55 €/m2</v>
      </c>
    </row>
    <row r="87" spans="2:13" ht="11.25" customHeight="1" x14ac:dyDescent="0.25"/>
    <row r="88" spans="2:13" ht="15.75" customHeight="1" x14ac:dyDescent="0.25">
      <c r="B88" s="138" t="s">
        <v>243</v>
      </c>
      <c r="C88" s="138"/>
      <c r="D88" s="138"/>
      <c r="E88" s="12"/>
      <c r="F88" s="12"/>
      <c r="G88" s="13"/>
    </row>
    <row r="89" spans="2:13" ht="11.25" customHeight="1" x14ac:dyDescent="0.25">
      <c r="B89" s="12"/>
      <c r="C89" s="12"/>
      <c r="D89" s="12"/>
      <c r="E89" s="12"/>
      <c r="F89" s="12"/>
      <c r="G89" s="13"/>
    </row>
    <row r="90" spans="2:13" ht="25.5" customHeight="1" x14ac:dyDescent="0.25">
      <c r="B90" s="67" t="s">
        <v>5</v>
      </c>
      <c r="C90" s="67" t="s">
        <v>6</v>
      </c>
      <c r="D90" s="67" t="s">
        <v>7</v>
      </c>
      <c r="E90" s="67" t="s">
        <v>8</v>
      </c>
      <c r="F90" s="68" t="s">
        <v>9</v>
      </c>
      <c r="G90" s="69" t="s">
        <v>10</v>
      </c>
      <c r="H90" s="69" t="s">
        <v>11</v>
      </c>
      <c r="I90" s="67" t="s">
        <v>12</v>
      </c>
      <c r="J90" s="70" t="s">
        <v>13</v>
      </c>
      <c r="K90" s="70" t="s">
        <v>14</v>
      </c>
      <c r="L90" s="70" t="s">
        <v>15</v>
      </c>
      <c r="M90" s="70" t="s">
        <v>16</v>
      </c>
    </row>
    <row r="91" spans="2:13" ht="30" customHeight="1" x14ac:dyDescent="0.25">
      <c r="B91" s="14" t="s">
        <v>244</v>
      </c>
      <c r="C91" s="15" t="s">
        <v>245</v>
      </c>
      <c r="D91" s="16" t="s">
        <v>246</v>
      </c>
      <c r="E91" s="16" t="s">
        <v>247</v>
      </c>
      <c r="F91" s="32" t="s">
        <v>21</v>
      </c>
      <c r="G91" s="18" t="s">
        <v>248</v>
      </c>
      <c r="H91" s="38" t="s">
        <v>249</v>
      </c>
      <c r="I91" s="35" t="str">
        <f>+MID(ListaPreciosProductos7826[[#This Row],[Precio PVP]],1,5)</f>
        <v xml:space="preserve">4,75 </v>
      </c>
      <c r="J91" s="25" t="s">
        <v>24</v>
      </c>
      <c r="K91" s="26">
        <f t="shared" ref="K91:K94" si="7">+$H$7</f>
        <v>0.43</v>
      </c>
      <c r="L91" s="27">
        <f>+ROUND(ListaPreciosProductos7826[[#This Row],[Columna1]]*(1-ListaPreciosProductos7826[[#This Row],[Descuento2]]),2)</f>
        <v>2.71</v>
      </c>
      <c r="M91" s="25" t="str">
        <f>+ListaPreciosProductos7826[[#This Row],[Precio Neto]]&amp;" "&amp;ListaPreciosProductos7826[[#This Row],[Columna2]]</f>
        <v>2,71 €/m2</v>
      </c>
    </row>
    <row r="92" spans="2:13" ht="30" customHeight="1" x14ac:dyDescent="0.25">
      <c r="B92" s="14" t="s">
        <v>250</v>
      </c>
      <c r="C92" s="15" t="s">
        <v>251</v>
      </c>
      <c r="D92" s="16" t="s">
        <v>252</v>
      </c>
      <c r="E92" s="16" t="s">
        <v>253</v>
      </c>
      <c r="F92" s="32" t="s">
        <v>21</v>
      </c>
      <c r="G92" s="18" t="s">
        <v>254</v>
      </c>
      <c r="H92" s="38" t="s">
        <v>255</v>
      </c>
      <c r="I92" s="35" t="str">
        <f>+MID(ListaPreciosProductos7826[[#This Row],[Precio PVP]],1,5)</f>
        <v xml:space="preserve">7,50 </v>
      </c>
      <c r="J92" s="25" t="s">
        <v>24</v>
      </c>
      <c r="K92" s="26">
        <f t="shared" si="7"/>
        <v>0.43</v>
      </c>
      <c r="L92" s="25">
        <f>+ROUND(ListaPreciosProductos7826[[#This Row],[Columna1]]*(1-ListaPreciosProductos7826[[#This Row],[Descuento2]]),2)</f>
        <v>4.28</v>
      </c>
      <c r="M92" s="25" t="str">
        <f>+ListaPreciosProductos7826[[#This Row],[Precio Neto]]&amp;" "&amp;ListaPreciosProductos7826[[#This Row],[Columna2]]</f>
        <v>4,28 €/m2</v>
      </c>
    </row>
    <row r="93" spans="2:13" ht="30" customHeight="1" x14ac:dyDescent="0.25">
      <c r="B93" s="41" t="s">
        <v>256</v>
      </c>
      <c r="C93" s="42" t="s">
        <v>257</v>
      </c>
      <c r="D93" s="73" t="s">
        <v>258</v>
      </c>
      <c r="E93" s="73" t="s">
        <v>253</v>
      </c>
      <c r="F93" s="45" t="s">
        <v>21</v>
      </c>
      <c r="G93" s="74" t="s">
        <v>254</v>
      </c>
      <c r="H93" s="65" t="s">
        <v>229</v>
      </c>
      <c r="I93" s="35" t="str">
        <f>+MID(ListaPreciosProductos7826[[#This Row],[Precio PVP]],1,5)</f>
        <v>10,75</v>
      </c>
      <c r="J93" s="25" t="s">
        <v>24</v>
      </c>
      <c r="K93" s="26">
        <f t="shared" si="7"/>
        <v>0.43</v>
      </c>
      <c r="L93" s="25">
        <f>+ROUND(ListaPreciosProductos7826[[#This Row],[Columna1]]*(1-ListaPreciosProductos7826[[#This Row],[Descuento2]]),2)</f>
        <v>6.13</v>
      </c>
      <c r="M93" s="25" t="str">
        <f>+ListaPreciosProductos7826[[#This Row],[Precio Neto]]&amp;" "&amp;ListaPreciosProductos7826[[#This Row],[Columna2]]</f>
        <v>6,13 €/m2</v>
      </c>
    </row>
    <row r="94" spans="2:13" ht="30" hidden="1" customHeight="1" x14ac:dyDescent="0.25">
      <c r="B94" s="14" t="s">
        <v>259</v>
      </c>
      <c r="C94" s="15" t="s">
        <v>260</v>
      </c>
      <c r="D94" s="16" t="s">
        <v>261</v>
      </c>
      <c r="E94" s="16" t="s">
        <v>262</v>
      </c>
      <c r="F94" s="32" t="s">
        <v>21</v>
      </c>
      <c r="G94" s="18" t="s">
        <v>86</v>
      </c>
      <c r="H94" s="24" t="s">
        <v>242</v>
      </c>
      <c r="I94" s="35" t="str">
        <f>+MID(ListaPreciosProductos7826[[#This Row],[Precio PVP]],1,5)</f>
        <v>13,25</v>
      </c>
      <c r="J94" s="25" t="s">
        <v>24</v>
      </c>
      <c r="K94" s="26">
        <f t="shared" si="7"/>
        <v>0.43</v>
      </c>
      <c r="L94" s="25">
        <f>+ROUND(ListaPreciosProductos7826[[#This Row],[Columna1]]*(1-ListaPreciosProductos7826[[#This Row],[Descuento2]]),2)</f>
        <v>7.55</v>
      </c>
      <c r="M94" s="25" t="str">
        <f>+ListaPreciosProductos7826[[#This Row],[Precio Neto]]&amp;" "&amp;ListaPreciosProductos7826[[#This Row],[Columna2]]</f>
        <v>7,55 €/m2</v>
      </c>
    </row>
    <row r="95" spans="2:13" ht="11.25" customHeight="1" x14ac:dyDescent="0.25"/>
    <row r="96" spans="2:13" ht="15.75" customHeight="1" x14ac:dyDescent="0.25">
      <c r="B96" s="138" t="s">
        <v>263</v>
      </c>
      <c r="C96" s="138"/>
      <c r="D96" s="138"/>
      <c r="E96" s="12"/>
      <c r="F96" s="12"/>
      <c r="G96" s="13"/>
    </row>
    <row r="97" spans="2:13" ht="11.25" customHeight="1" x14ac:dyDescent="0.25">
      <c r="B97" s="12"/>
      <c r="C97" s="12"/>
      <c r="D97" s="12"/>
      <c r="E97" s="12"/>
      <c r="F97" s="12"/>
      <c r="G97" s="13"/>
    </row>
    <row r="98" spans="2:13" ht="27" customHeight="1" x14ac:dyDescent="0.25">
      <c r="B98" s="67" t="s">
        <v>5</v>
      </c>
      <c r="C98" s="67" t="s">
        <v>6</v>
      </c>
      <c r="D98" s="67" t="s">
        <v>7</v>
      </c>
      <c r="E98" s="67" t="s">
        <v>8</v>
      </c>
      <c r="F98" s="68" t="s">
        <v>9</v>
      </c>
      <c r="G98" s="69" t="s">
        <v>10</v>
      </c>
      <c r="H98" s="69" t="s">
        <v>11</v>
      </c>
      <c r="I98" s="67" t="s">
        <v>12</v>
      </c>
      <c r="J98" s="70" t="s">
        <v>13</v>
      </c>
      <c r="K98" s="70" t="s">
        <v>14</v>
      </c>
      <c r="L98" s="70" t="s">
        <v>15</v>
      </c>
      <c r="M98" s="70" t="s">
        <v>16</v>
      </c>
    </row>
    <row r="99" spans="2:13" ht="30" customHeight="1" x14ac:dyDescent="0.25">
      <c r="B99" s="14" t="s">
        <v>264</v>
      </c>
      <c r="C99" s="15" t="s">
        <v>265</v>
      </c>
      <c r="D99" s="16" t="s">
        <v>266</v>
      </c>
      <c r="E99" s="16" t="s">
        <v>253</v>
      </c>
      <c r="F99" s="32" t="s">
        <v>21</v>
      </c>
      <c r="G99" s="18" t="s">
        <v>267</v>
      </c>
      <c r="H99" s="38" t="s">
        <v>268</v>
      </c>
      <c r="I99" s="35" t="str">
        <f>+MID(ListaPreciosProductos78927[[#This Row],[Precio PVP]],1,5)</f>
        <v>12,60</v>
      </c>
      <c r="J99" s="25" t="s">
        <v>24</v>
      </c>
      <c r="K99" s="26">
        <f t="shared" ref="K99:K106" si="8">+$H$7</f>
        <v>0.43</v>
      </c>
      <c r="L99" s="27">
        <f>+ROUND(ListaPreciosProductos78927[[#This Row],[Columna1]]*(1-ListaPreciosProductos78927[[#This Row],[Descuento2]]),2)</f>
        <v>7.18</v>
      </c>
      <c r="M99" s="25" t="str">
        <f>+ListaPreciosProductos78927[[#This Row],[Precio Neto]]&amp;" "&amp;ListaPreciosProductos78927[[#This Row],[Columna2]]</f>
        <v>7,18 €/m2</v>
      </c>
    </row>
    <row r="100" spans="2:13" ht="30" customHeight="1" x14ac:dyDescent="0.25">
      <c r="B100" s="14" t="s">
        <v>269</v>
      </c>
      <c r="C100" s="15" t="s">
        <v>270</v>
      </c>
      <c r="D100" s="16" t="s">
        <v>271</v>
      </c>
      <c r="E100" s="16" t="s">
        <v>253</v>
      </c>
      <c r="F100" s="32" t="s">
        <v>21</v>
      </c>
      <c r="G100" s="18" t="s">
        <v>267</v>
      </c>
      <c r="H100" s="38" t="s">
        <v>233</v>
      </c>
      <c r="I100" s="35" t="str">
        <f>+MID(ListaPreciosProductos78927[[#This Row],[Precio PVP]],1,5)</f>
        <v>16,35</v>
      </c>
      <c r="J100" s="25" t="s">
        <v>24</v>
      </c>
      <c r="K100" s="26">
        <f t="shared" si="8"/>
        <v>0.43</v>
      </c>
      <c r="L100" s="25">
        <f>+ROUND(ListaPreciosProductos78927[[#This Row],[Columna1]]*(1-ListaPreciosProductos78927[[#This Row],[Descuento2]]),2)</f>
        <v>9.32</v>
      </c>
      <c r="M100" s="25" t="str">
        <f>+ListaPreciosProductos78927[[#This Row],[Precio Neto]]&amp;" "&amp;ListaPreciosProductos78927[[#This Row],[Columna2]]</f>
        <v>9,32 €/m2</v>
      </c>
    </row>
    <row r="101" spans="2:13" ht="30" customHeight="1" x14ac:dyDescent="0.25">
      <c r="B101" s="30" t="s">
        <v>272</v>
      </c>
      <c r="C101" s="15" t="s">
        <v>273</v>
      </c>
      <c r="D101" s="16" t="s">
        <v>274</v>
      </c>
      <c r="E101" s="16" t="s">
        <v>247</v>
      </c>
      <c r="F101" s="32" t="s">
        <v>21</v>
      </c>
      <c r="G101" s="18" t="s">
        <v>275</v>
      </c>
      <c r="H101" s="24" t="s">
        <v>276</v>
      </c>
      <c r="I101" s="35" t="str">
        <f>+MID(ListaPreciosProductos78927[[#This Row],[Precio PVP]],1,5)</f>
        <v>16,40</v>
      </c>
      <c r="J101" s="25" t="s">
        <v>24</v>
      </c>
      <c r="K101" s="26">
        <f t="shared" si="8"/>
        <v>0.43</v>
      </c>
      <c r="L101" s="25">
        <f>+ROUND(ListaPreciosProductos78927[[#This Row],[Columna1]]*(1-ListaPreciosProductos78927[[#This Row],[Descuento2]]),2)</f>
        <v>9.35</v>
      </c>
      <c r="M101" s="25" t="str">
        <f>+ListaPreciosProductos78927[[#This Row],[Precio Neto]]&amp;" "&amp;ListaPreciosProductos78927[[#This Row],[Columna2]]</f>
        <v>9,35 €/m2</v>
      </c>
    </row>
    <row r="102" spans="2:13" ht="30" customHeight="1" x14ac:dyDescent="0.25">
      <c r="B102" s="14" t="s">
        <v>277</v>
      </c>
      <c r="C102" s="15" t="s">
        <v>278</v>
      </c>
      <c r="D102" s="16" t="s">
        <v>279</v>
      </c>
      <c r="E102" s="16" t="s">
        <v>241</v>
      </c>
      <c r="F102" s="32" t="s">
        <v>21</v>
      </c>
      <c r="G102" s="18" t="s">
        <v>280</v>
      </c>
      <c r="H102" s="24" t="s">
        <v>281</v>
      </c>
      <c r="I102" s="35" t="str">
        <f>+MID(ListaPreciosProductos78927[[#This Row],[Precio PVP]],1,5)</f>
        <v>19,60</v>
      </c>
      <c r="J102" s="25" t="s">
        <v>24</v>
      </c>
      <c r="K102" s="26">
        <f t="shared" si="8"/>
        <v>0.43</v>
      </c>
      <c r="L102" s="25">
        <f>+ROUND(ListaPreciosProductos78927[[#This Row],[Columna1]]*(1-ListaPreciosProductos78927[[#This Row],[Descuento2]]),2)</f>
        <v>11.17</v>
      </c>
      <c r="M102" s="25" t="str">
        <f>+ListaPreciosProductos78927[[#This Row],[Precio Neto]]&amp;" "&amp;ListaPreciosProductos78927[[#This Row],[Columna2]]</f>
        <v>11,17 €/m2</v>
      </c>
    </row>
    <row r="103" spans="2:13" ht="30" customHeight="1" x14ac:dyDescent="0.25">
      <c r="B103" s="30" t="s">
        <v>282</v>
      </c>
      <c r="C103" s="15" t="s">
        <v>283</v>
      </c>
      <c r="D103" s="16" t="s">
        <v>284</v>
      </c>
      <c r="E103" s="16" t="s">
        <v>285</v>
      </c>
      <c r="F103" s="32" t="s">
        <v>21</v>
      </c>
      <c r="G103" s="18" t="s">
        <v>286</v>
      </c>
      <c r="H103" s="24" t="s">
        <v>287</v>
      </c>
      <c r="I103" s="35" t="str">
        <f>+MID(ListaPreciosProductos78927[[#This Row],[Precio PVP]],1,5)</f>
        <v>29,60</v>
      </c>
      <c r="J103" s="25" t="s">
        <v>24</v>
      </c>
      <c r="K103" s="26">
        <f t="shared" si="8"/>
        <v>0.43</v>
      </c>
      <c r="L103" s="25">
        <f>+ROUND(ListaPreciosProductos78927[[#This Row],[Columna1]]*(1-ListaPreciosProductos78927[[#This Row],[Descuento2]]),2)</f>
        <v>16.87</v>
      </c>
      <c r="M103" s="25" t="str">
        <f>+ListaPreciosProductos78927[[#This Row],[Precio Neto]]&amp;" "&amp;ListaPreciosProductos78927[[#This Row],[Columna2]]</f>
        <v>16,87 €/m2</v>
      </c>
    </row>
    <row r="104" spans="2:13" ht="30" customHeight="1" x14ac:dyDescent="0.25">
      <c r="B104" s="14" t="s">
        <v>288</v>
      </c>
      <c r="C104" s="15" t="s">
        <v>289</v>
      </c>
      <c r="D104" s="16" t="s">
        <v>290</v>
      </c>
      <c r="E104" s="16" t="s">
        <v>241</v>
      </c>
      <c r="F104" s="32" t="s">
        <v>21</v>
      </c>
      <c r="G104" s="18" t="s">
        <v>280</v>
      </c>
      <c r="H104" s="24" t="s">
        <v>291</v>
      </c>
      <c r="I104" s="35" t="str">
        <f>+MID(ListaPreciosProductos78927[[#This Row],[Precio PVP]],1,5)</f>
        <v>29,80</v>
      </c>
      <c r="J104" s="25" t="s">
        <v>24</v>
      </c>
      <c r="K104" s="26">
        <f t="shared" si="8"/>
        <v>0.43</v>
      </c>
      <c r="L104" s="25">
        <f>+ROUND(ListaPreciosProductos78927[[#This Row],[Columna1]]*(1-ListaPreciosProductos78927[[#This Row],[Descuento2]]),2)</f>
        <v>16.989999999999998</v>
      </c>
      <c r="M104" s="25" t="str">
        <f>+ListaPreciosProductos78927[[#This Row],[Precio Neto]]&amp;" "&amp;ListaPreciosProductos78927[[#This Row],[Columna2]]</f>
        <v>16,99 €/m2</v>
      </c>
    </row>
    <row r="105" spans="2:13" ht="30" customHeight="1" x14ac:dyDescent="0.25">
      <c r="B105" s="14" t="s">
        <v>292</v>
      </c>
      <c r="C105" s="15" t="s">
        <v>293</v>
      </c>
      <c r="D105" s="17" t="s">
        <v>294</v>
      </c>
      <c r="E105" s="16" t="s">
        <v>241</v>
      </c>
      <c r="F105" s="32" t="s">
        <v>21</v>
      </c>
      <c r="G105" s="18" t="s">
        <v>295</v>
      </c>
      <c r="H105" s="24" t="s">
        <v>296</v>
      </c>
      <c r="I105" s="35" t="str">
        <f>+MID(ListaPreciosProductos78927[[#This Row],[Precio PVP]],1,5)</f>
        <v xml:space="preserve">8,90 </v>
      </c>
      <c r="J105" s="25" t="s">
        <v>24</v>
      </c>
      <c r="K105" s="26">
        <f t="shared" si="8"/>
        <v>0.43</v>
      </c>
      <c r="L105" s="25">
        <f>+ROUND(ListaPreciosProductos78927[[#This Row],[Columna1]]*(1-ListaPreciosProductos78927[[#This Row],[Descuento2]]),2)</f>
        <v>5.07</v>
      </c>
      <c r="M105" s="25" t="str">
        <f>+ListaPreciosProductos78927[[#This Row],[Precio Neto]]&amp;" "&amp;ListaPreciosProductos78927[[#This Row],[Columna2]]</f>
        <v>5,07 €/m2</v>
      </c>
    </row>
    <row r="106" spans="2:13" ht="30" customHeight="1" x14ac:dyDescent="0.25">
      <c r="B106" s="71" t="s">
        <v>297</v>
      </c>
      <c r="C106" s="42" t="s">
        <v>298</v>
      </c>
      <c r="D106" s="72" t="s">
        <v>299</v>
      </c>
      <c r="E106" s="73" t="s">
        <v>241</v>
      </c>
      <c r="F106" s="45" t="s">
        <v>21</v>
      </c>
      <c r="G106" s="74" t="s">
        <v>300</v>
      </c>
      <c r="H106" s="65" t="s">
        <v>29</v>
      </c>
      <c r="I106" s="35" t="str">
        <f>+MID(ListaPreciosProductos78927[[#This Row],[Precio PVP]],1,5)</f>
        <v>11,30</v>
      </c>
      <c r="J106" s="25" t="s">
        <v>24</v>
      </c>
      <c r="K106" s="26">
        <f t="shared" si="8"/>
        <v>0.43</v>
      </c>
      <c r="L106" s="25">
        <f>+ROUND(ListaPreciosProductos78927[[#This Row],[Columna1]]*(1-ListaPreciosProductos78927[[#This Row],[Descuento2]]),2)</f>
        <v>6.44</v>
      </c>
      <c r="M106" s="25" t="str">
        <f>+ListaPreciosProductos78927[[#This Row],[Precio Neto]]&amp;" "&amp;ListaPreciosProductos78927[[#This Row],[Columna2]]</f>
        <v>6,44 €/m2</v>
      </c>
    </row>
    <row r="107" spans="2:13" ht="11.25" customHeight="1" x14ac:dyDescent="0.25"/>
    <row r="108" spans="2:13" ht="11.25" customHeight="1" x14ac:dyDescent="0.25"/>
    <row r="109" spans="2:13" ht="11.25" customHeight="1" x14ac:dyDescent="0.25"/>
    <row r="110" spans="2:13" ht="11.25" customHeight="1" x14ac:dyDescent="0.25"/>
    <row r="111" spans="2:13" ht="11.1" customHeight="1" x14ac:dyDescent="0.25"/>
    <row r="112" spans="2:13" ht="9.6" customHeight="1" x14ac:dyDescent="0.25"/>
    <row r="113" spans="2:13" ht="15.75" customHeight="1" x14ac:dyDescent="0.25">
      <c r="B113" s="138" t="s">
        <v>301</v>
      </c>
      <c r="C113" s="138"/>
      <c r="D113" s="138"/>
      <c r="E113" s="12"/>
      <c r="F113" s="12"/>
      <c r="G113" s="13"/>
    </row>
    <row r="114" spans="2:13" ht="11.25" customHeight="1" x14ac:dyDescent="0.25">
      <c r="B114" s="12"/>
      <c r="C114" s="12"/>
      <c r="D114" s="12"/>
      <c r="E114" s="12"/>
      <c r="F114" s="12"/>
      <c r="G114" s="13"/>
    </row>
    <row r="115" spans="2:13" ht="27" customHeight="1" x14ac:dyDescent="0.25">
      <c r="B115" s="67" t="s">
        <v>5</v>
      </c>
      <c r="C115" s="67" t="s">
        <v>6</v>
      </c>
      <c r="D115" s="67" t="s">
        <v>7</v>
      </c>
      <c r="E115" s="67" t="s">
        <v>8</v>
      </c>
      <c r="F115" s="68" t="s">
        <v>9</v>
      </c>
      <c r="G115" s="69" t="s">
        <v>10</v>
      </c>
      <c r="H115" s="69" t="s">
        <v>11</v>
      </c>
      <c r="I115" s="67" t="s">
        <v>12</v>
      </c>
      <c r="J115" s="70" t="s">
        <v>13</v>
      </c>
      <c r="K115" s="70" t="s">
        <v>14</v>
      </c>
      <c r="L115" s="70" t="s">
        <v>15</v>
      </c>
      <c r="M115" s="70" t="s">
        <v>16</v>
      </c>
    </row>
    <row r="116" spans="2:13" ht="34.5" customHeight="1" x14ac:dyDescent="0.25">
      <c r="B116" s="14" t="s">
        <v>302</v>
      </c>
      <c r="C116" s="15" t="s">
        <v>303</v>
      </c>
      <c r="D116" s="16" t="s">
        <v>304</v>
      </c>
      <c r="E116" s="16" t="s">
        <v>305</v>
      </c>
      <c r="F116" s="32" t="s">
        <v>187</v>
      </c>
      <c r="G116" s="18" t="s">
        <v>306</v>
      </c>
      <c r="H116" s="38" t="s">
        <v>307</v>
      </c>
      <c r="I116" s="35" t="str">
        <f>+MID(ListaPreciosProductos7891028[[#This Row],[Precio PVP]],1,5)</f>
        <v xml:space="preserve">8,30 </v>
      </c>
      <c r="J116" s="25" t="s">
        <v>190</v>
      </c>
      <c r="K116" s="26">
        <f t="shared" ref="K116:K117" si="9">+$H$7</f>
        <v>0.43</v>
      </c>
      <c r="L116" s="27">
        <f>+ROUND(ListaPreciosProductos7891028[[#This Row],[Columna1]]*(1-ListaPreciosProductos7891028[[#This Row],[Descuento2]]),2)</f>
        <v>4.7300000000000004</v>
      </c>
      <c r="M116" s="25" t="str">
        <f>+ListaPreciosProductos7891028[[#This Row],[Precio Neto]]&amp;" "&amp;ListaPreciosProductos7891028[[#This Row],[Columna2]]</f>
        <v>4,73 €/mL</v>
      </c>
    </row>
    <row r="117" spans="2:13" ht="30.75" customHeight="1" x14ac:dyDescent="0.25">
      <c r="B117" s="14" t="s">
        <v>308</v>
      </c>
      <c r="C117" s="15" t="s">
        <v>309</v>
      </c>
      <c r="D117" s="31" t="s">
        <v>310</v>
      </c>
      <c r="E117" s="16" t="s">
        <v>311</v>
      </c>
      <c r="F117" s="32" t="s">
        <v>187</v>
      </c>
      <c r="G117" s="18" t="s">
        <v>306</v>
      </c>
      <c r="H117" s="38" t="s">
        <v>312</v>
      </c>
      <c r="I117" s="35" t="str">
        <f>+MID(ListaPreciosProductos7891028[[#This Row],[Precio PVP]],1,5)</f>
        <v xml:space="preserve">2,70 </v>
      </c>
      <c r="J117" s="25" t="s">
        <v>190</v>
      </c>
      <c r="K117" s="26">
        <f t="shared" si="9"/>
        <v>0.43</v>
      </c>
      <c r="L117" s="25">
        <f>+ROUND(ListaPreciosProductos7891028[[#This Row],[Columna1]]*(1-ListaPreciosProductos7891028[[#This Row],[Descuento2]]),2)</f>
        <v>1.54</v>
      </c>
      <c r="M117" s="25" t="str">
        <f>+ListaPreciosProductos7891028[[#This Row],[Precio Neto]]&amp;" "&amp;ListaPreciosProductos7891028[[#This Row],[Columna2]]</f>
        <v>1,54 €/mL</v>
      </c>
    </row>
    <row r="118" spans="2:13" ht="11.25" customHeight="1" x14ac:dyDescent="0.25"/>
    <row r="119" spans="2:13" ht="15.75" customHeight="1" x14ac:dyDescent="0.25">
      <c r="B119" s="138" t="s">
        <v>313</v>
      </c>
      <c r="C119" s="138"/>
      <c r="D119" s="138"/>
      <c r="E119" s="12"/>
      <c r="F119" s="12"/>
      <c r="G119" s="13"/>
    </row>
    <row r="120" spans="2:13" ht="11.25" customHeight="1" x14ac:dyDescent="0.25">
      <c r="B120" s="12"/>
      <c r="C120" s="12"/>
      <c r="D120" s="12"/>
      <c r="E120" s="12"/>
      <c r="F120" s="12"/>
      <c r="G120" s="13"/>
    </row>
    <row r="121" spans="2:13" ht="27" customHeight="1" x14ac:dyDescent="0.25">
      <c r="B121" s="67" t="s">
        <v>5</v>
      </c>
      <c r="C121" s="67" t="s">
        <v>6</v>
      </c>
      <c r="D121" s="67" t="s">
        <v>7</v>
      </c>
      <c r="E121" s="67" t="s">
        <v>8</v>
      </c>
      <c r="F121" s="68" t="s">
        <v>9</v>
      </c>
      <c r="G121" s="69" t="s">
        <v>10</v>
      </c>
      <c r="H121" s="69" t="s">
        <v>11</v>
      </c>
      <c r="I121" s="67" t="s">
        <v>12</v>
      </c>
      <c r="J121" s="70" t="s">
        <v>13</v>
      </c>
      <c r="K121" s="70" t="s">
        <v>14</v>
      </c>
      <c r="L121" s="70" t="s">
        <v>15</v>
      </c>
      <c r="M121" s="70" t="s">
        <v>16</v>
      </c>
    </row>
    <row r="122" spans="2:13" ht="30" customHeight="1" x14ac:dyDescent="0.25">
      <c r="B122" s="14" t="s">
        <v>314</v>
      </c>
      <c r="C122" s="15" t="s">
        <v>315</v>
      </c>
      <c r="D122" s="16" t="s">
        <v>316</v>
      </c>
      <c r="E122" s="16" t="s">
        <v>317</v>
      </c>
      <c r="F122" s="32" t="s">
        <v>318</v>
      </c>
      <c r="G122" s="18" t="s">
        <v>319</v>
      </c>
      <c r="H122" s="38" t="s">
        <v>320</v>
      </c>
      <c r="I122" s="35" t="str">
        <f>+MID(ListaPreciosProductos789101129[[#This Row],[Precio PVP]],1,5)</f>
        <v xml:space="preserve">7,70 </v>
      </c>
      <c r="J122" s="25" t="s">
        <v>321</v>
      </c>
      <c r="K122" s="26">
        <f t="shared" ref="K122:K129" si="10">+$H$7</f>
        <v>0.43</v>
      </c>
      <c r="L122" s="27">
        <f>+ROUND(ListaPreciosProductos789101129[[#This Row],[Columna1]]*(1-ListaPreciosProductos789101129[[#This Row],[Descuento2]]),2)</f>
        <v>4.3899999999999997</v>
      </c>
      <c r="M122" s="25" t="str">
        <f>+ListaPreciosProductos789101129[[#This Row],[Precio Neto]]&amp;" "&amp;ListaPreciosProductos789101129[[#This Row],[Columna2]]</f>
        <v>4,39 €/ud</v>
      </c>
    </row>
    <row r="123" spans="2:13" ht="30" customHeight="1" x14ac:dyDescent="0.25">
      <c r="B123" s="14" t="s">
        <v>322</v>
      </c>
      <c r="C123" s="15" t="s">
        <v>323</v>
      </c>
      <c r="D123" s="16" t="s">
        <v>316</v>
      </c>
      <c r="E123" s="16" t="s">
        <v>324</v>
      </c>
      <c r="F123" s="32" t="s">
        <v>318</v>
      </c>
      <c r="G123" s="18" t="s">
        <v>325</v>
      </c>
      <c r="H123" s="38" t="s">
        <v>326</v>
      </c>
      <c r="I123" s="35" t="str">
        <f>+MID(ListaPreciosProductos789101129[[#This Row],[Precio PVP]],1,5)</f>
        <v>10,90</v>
      </c>
      <c r="J123" s="25" t="s">
        <v>321</v>
      </c>
      <c r="K123" s="26">
        <f t="shared" si="10"/>
        <v>0.43</v>
      </c>
      <c r="L123" s="25">
        <f>+ROUND(ListaPreciosProductos789101129[[#This Row],[Columna1]]*(1-ListaPreciosProductos789101129[[#This Row],[Descuento2]]),2)</f>
        <v>6.21</v>
      </c>
      <c r="M123" s="25" t="str">
        <f>+ListaPreciosProductos789101129[[#This Row],[Precio Neto]]&amp;" "&amp;ListaPreciosProductos789101129[[#This Row],[Columna2]]</f>
        <v>6,21 €/ud</v>
      </c>
    </row>
    <row r="124" spans="2:13" ht="30" customHeight="1" x14ac:dyDescent="0.25">
      <c r="B124" s="14" t="s">
        <v>327</v>
      </c>
      <c r="C124" s="15" t="s">
        <v>328</v>
      </c>
      <c r="D124" s="16" t="s">
        <v>316</v>
      </c>
      <c r="E124" s="16" t="s">
        <v>329</v>
      </c>
      <c r="F124" s="32" t="s">
        <v>318</v>
      </c>
      <c r="G124" s="18" t="s">
        <v>330</v>
      </c>
      <c r="H124" s="24" t="s">
        <v>331</v>
      </c>
      <c r="I124" s="35" t="str">
        <f>+MID(ListaPreciosProductos789101129[[#This Row],[Precio PVP]],1,5)</f>
        <v>13,95</v>
      </c>
      <c r="J124" s="25" t="s">
        <v>321</v>
      </c>
      <c r="K124" s="26">
        <f t="shared" si="10"/>
        <v>0.43</v>
      </c>
      <c r="L124" s="25">
        <f>+ROUND(ListaPreciosProductos789101129[[#This Row],[Columna1]]*(1-ListaPreciosProductos789101129[[#This Row],[Descuento2]]),2)</f>
        <v>7.95</v>
      </c>
      <c r="M124" s="25" t="str">
        <f>+ListaPreciosProductos789101129[[#This Row],[Precio Neto]]&amp;" "&amp;ListaPreciosProductos789101129[[#This Row],[Columna2]]</f>
        <v>7,95 €/ud</v>
      </c>
    </row>
    <row r="125" spans="2:13" ht="30" customHeight="1" x14ac:dyDescent="0.25">
      <c r="B125" s="14" t="s">
        <v>332</v>
      </c>
      <c r="C125" s="15" t="s">
        <v>333</v>
      </c>
      <c r="D125" s="16" t="s">
        <v>334</v>
      </c>
      <c r="E125" s="16" t="s">
        <v>335</v>
      </c>
      <c r="F125" s="32" t="s">
        <v>187</v>
      </c>
      <c r="G125" s="18" t="s">
        <v>336</v>
      </c>
      <c r="H125" s="24" t="s">
        <v>337</v>
      </c>
      <c r="I125" s="35" t="str">
        <f>+MID(ListaPreciosProductos789101129[[#This Row],[Precio PVP]],1,5)</f>
        <v xml:space="preserve">0,95 </v>
      </c>
      <c r="J125" s="25" t="s">
        <v>190</v>
      </c>
      <c r="K125" s="26">
        <f t="shared" si="10"/>
        <v>0.43</v>
      </c>
      <c r="L125" s="25">
        <f>+ROUND(ListaPreciosProductos789101129[[#This Row],[Columna1]]*(1-ListaPreciosProductos789101129[[#This Row],[Descuento2]]),2)</f>
        <v>0.54</v>
      </c>
      <c r="M125" s="25" t="str">
        <f>+ListaPreciosProductos789101129[[#This Row],[Precio Neto]]&amp;" "&amp;ListaPreciosProductos789101129[[#This Row],[Columna2]]</f>
        <v>0,54 €/mL</v>
      </c>
    </row>
    <row r="126" spans="2:13" ht="30" customHeight="1" x14ac:dyDescent="0.25">
      <c r="B126" s="14" t="s">
        <v>338</v>
      </c>
      <c r="C126" s="15" t="s">
        <v>339</v>
      </c>
      <c r="D126" s="16" t="s">
        <v>334</v>
      </c>
      <c r="E126" s="16" t="s">
        <v>340</v>
      </c>
      <c r="F126" s="32" t="s">
        <v>187</v>
      </c>
      <c r="G126" s="18" t="s">
        <v>341</v>
      </c>
      <c r="H126" s="24" t="s">
        <v>342</v>
      </c>
      <c r="I126" s="35" t="str">
        <f>+MID(ListaPreciosProductos789101129[[#This Row],[Precio PVP]],1,5)</f>
        <v xml:space="preserve">1,30 </v>
      </c>
      <c r="J126" s="25" t="s">
        <v>190</v>
      </c>
      <c r="K126" s="26">
        <f t="shared" si="10"/>
        <v>0.43</v>
      </c>
      <c r="L126" s="25">
        <f>+ROUND(ListaPreciosProductos789101129[[#This Row],[Columna1]]*(1-ListaPreciosProductos789101129[[#This Row],[Descuento2]]),2)</f>
        <v>0.74</v>
      </c>
      <c r="M126" s="25" t="str">
        <f>+ListaPreciosProductos789101129[[#This Row],[Precio Neto]]&amp;" "&amp;ListaPreciosProductos789101129[[#This Row],[Columna2]]</f>
        <v>0,74 €/mL</v>
      </c>
    </row>
    <row r="127" spans="2:13" ht="30" customHeight="1" x14ac:dyDescent="0.25">
      <c r="B127" s="14" t="s">
        <v>343</v>
      </c>
      <c r="C127" s="15" t="s">
        <v>344</v>
      </c>
      <c r="D127" s="16" t="s">
        <v>334</v>
      </c>
      <c r="E127" s="16" t="s">
        <v>345</v>
      </c>
      <c r="F127" s="32" t="s">
        <v>187</v>
      </c>
      <c r="G127" s="18" t="s">
        <v>346</v>
      </c>
      <c r="H127" s="24" t="s">
        <v>347</v>
      </c>
      <c r="I127" s="35" t="str">
        <f>+MID(ListaPreciosProductos789101129[[#This Row],[Precio PVP]],1,5)</f>
        <v xml:space="preserve">1,70 </v>
      </c>
      <c r="J127" s="25" t="s">
        <v>190</v>
      </c>
      <c r="K127" s="26">
        <f t="shared" si="10"/>
        <v>0.43</v>
      </c>
      <c r="L127" s="25">
        <f>+ROUND(ListaPreciosProductos789101129[[#This Row],[Columna1]]*(1-ListaPreciosProductos789101129[[#This Row],[Descuento2]]),2)</f>
        <v>0.97</v>
      </c>
      <c r="M127" s="25" t="str">
        <f>+ListaPreciosProductos789101129[[#This Row],[Precio Neto]]&amp;" "&amp;ListaPreciosProductos789101129[[#This Row],[Columna2]]</f>
        <v>0,97 €/mL</v>
      </c>
    </row>
    <row r="128" spans="2:13" ht="30" customHeight="1" x14ac:dyDescent="0.25">
      <c r="B128" s="14" t="s">
        <v>348</v>
      </c>
      <c r="C128" s="15" t="s">
        <v>349</v>
      </c>
      <c r="D128" s="16" t="s">
        <v>350</v>
      </c>
      <c r="E128" s="16" t="s">
        <v>351</v>
      </c>
      <c r="F128" s="32" t="s">
        <v>187</v>
      </c>
      <c r="G128" s="18" t="s">
        <v>352</v>
      </c>
      <c r="H128" s="24" t="s">
        <v>353</v>
      </c>
      <c r="I128" s="35" t="str">
        <f>+MID(ListaPreciosProductos789101129[[#This Row],[Precio PVP]],1,5)</f>
        <v xml:space="preserve">1,35 </v>
      </c>
      <c r="J128" s="25" t="s">
        <v>190</v>
      </c>
      <c r="K128" s="26">
        <f t="shared" si="10"/>
        <v>0.43</v>
      </c>
      <c r="L128" s="25">
        <f>+ROUND(ListaPreciosProductos789101129[[#This Row],[Columna1]]*(1-ListaPreciosProductos789101129[[#This Row],[Descuento2]]),2)</f>
        <v>0.77</v>
      </c>
      <c r="M128" s="25" t="str">
        <f>+ListaPreciosProductos789101129[[#This Row],[Precio Neto]]&amp;" "&amp;ListaPreciosProductos789101129[[#This Row],[Columna2]]</f>
        <v>0,77 €/mL</v>
      </c>
    </row>
    <row r="129" spans="2:13" ht="30" customHeight="1" x14ac:dyDescent="0.25">
      <c r="B129" s="14" t="s">
        <v>354</v>
      </c>
      <c r="C129" s="15" t="s">
        <v>355</v>
      </c>
      <c r="D129" s="16" t="s">
        <v>356</v>
      </c>
      <c r="E129" s="16" t="s">
        <v>317</v>
      </c>
      <c r="F129" s="32" t="s">
        <v>318</v>
      </c>
      <c r="G129" s="18" t="s">
        <v>319</v>
      </c>
      <c r="H129" s="24" t="s">
        <v>357</v>
      </c>
      <c r="I129" s="35" t="str">
        <f>+MID(ListaPreciosProductos789101129[[#This Row],[Precio PVP]],1,5)</f>
        <v>15,50</v>
      </c>
      <c r="J129" s="25" t="s">
        <v>321</v>
      </c>
      <c r="K129" s="26">
        <f t="shared" si="10"/>
        <v>0.43</v>
      </c>
      <c r="L129" s="25">
        <f>+ROUND(ListaPreciosProductos789101129[[#This Row],[Columna1]]*(1-ListaPreciosProductos789101129[[#This Row],[Descuento2]]),2)</f>
        <v>8.84</v>
      </c>
      <c r="M129" s="25" t="str">
        <f>+ListaPreciosProductos789101129[[#This Row],[Precio Neto]]&amp;" "&amp;ListaPreciosProductos789101129[[#This Row],[Columna2]]</f>
        <v>8,84 €/ud</v>
      </c>
    </row>
    <row r="130" spans="2:13" ht="10.5" customHeight="1" x14ac:dyDescent="0.25">
      <c r="B130" s="9"/>
      <c r="C130" s="9"/>
      <c r="D130" s="9"/>
      <c r="E130" s="9"/>
      <c r="F130" s="9"/>
      <c r="G130" s="9"/>
      <c r="H130" s="9"/>
      <c r="I130" s="9"/>
    </row>
    <row r="131" spans="2:13" ht="15.75" customHeight="1" x14ac:dyDescent="0.25">
      <c r="B131" s="138" t="s">
        <v>358</v>
      </c>
      <c r="C131" s="138"/>
      <c r="D131" s="138"/>
      <c r="E131" s="12"/>
      <c r="F131" s="12"/>
      <c r="G131" s="13"/>
    </row>
    <row r="132" spans="2:13" ht="11.25" customHeight="1" x14ac:dyDescent="0.25">
      <c r="B132" s="12"/>
      <c r="C132" s="12"/>
      <c r="D132" s="12"/>
      <c r="E132" s="12"/>
      <c r="F132" s="12"/>
      <c r="G132" s="13"/>
    </row>
    <row r="133" spans="2:13" ht="27" customHeight="1" x14ac:dyDescent="0.25">
      <c r="B133" s="67" t="s">
        <v>5</v>
      </c>
      <c r="C133" s="67" t="s">
        <v>6</v>
      </c>
      <c r="D133" s="67" t="s">
        <v>7</v>
      </c>
      <c r="E133" s="67" t="s">
        <v>8</v>
      </c>
      <c r="F133" s="68" t="s">
        <v>9</v>
      </c>
      <c r="G133" s="69" t="s">
        <v>10</v>
      </c>
      <c r="H133" s="69" t="s">
        <v>11</v>
      </c>
      <c r="I133" s="67" t="s">
        <v>12</v>
      </c>
      <c r="J133" s="70" t="s">
        <v>13</v>
      </c>
      <c r="K133" s="70" t="s">
        <v>14</v>
      </c>
      <c r="L133" s="70" t="s">
        <v>15</v>
      </c>
      <c r="M133" s="70" t="s">
        <v>16</v>
      </c>
    </row>
    <row r="134" spans="2:13" ht="30" customHeight="1" x14ac:dyDescent="0.25">
      <c r="B134" s="14" t="s">
        <v>359</v>
      </c>
      <c r="C134" s="15" t="s">
        <v>360</v>
      </c>
      <c r="D134" s="16" t="s">
        <v>361</v>
      </c>
      <c r="E134" s="128" t="s">
        <v>658</v>
      </c>
      <c r="F134" s="32" t="s">
        <v>21</v>
      </c>
      <c r="G134" s="18" t="s">
        <v>362</v>
      </c>
      <c r="H134" s="38" t="s">
        <v>679</v>
      </c>
      <c r="I134" s="35" t="str">
        <f>+MID(ListaPreciosProductos78910111230[[#This Row],[Precio PVP]],1,5)</f>
        <v>18,30</v>
      </c>
      <c r="J134" s="25" t="s">
        <v>24</v>
      </c>
      <c r="K134" s="26">
        <f t="shared" ref="K134:K143" si="11">+$H$7</f>
        <v>0.43</v>
      </c>
      <c r="L134" s="27">
        <f>+ROUND(ListaPreciosProductos78910111230[[#This Row],[Columna1]]*(1-ListaPreciosProductos78910111230[[#This Row],[Descuento2]]),2)</f>
        <v>10.43</v>
      </c>
      <c r="M134" s="25" t="str">
        <f>+ListaPreciosProductos78910111230[[#This Row],[Precio Neto]]&amp;" "&amp;ListaPreciosProductos78910111230[[#This Row],[Columna2]]</f>
        <v>10,43 €/m2</v>
      </c>
    </row>
    <row r="135" spans="2:13" ht="30" customHeight="1" x14ac:dyDescent="0.25">
      <c r="B135" s="14" t="s">
        <v>363</v>
      </c>
      <c r="C135" s="15" t="s">
        <v>364</v>
      </c>
      <c r="D135" s="16" t="s">
        <v>365</v>
      </c>
      <c r="E135" s="128" t="s">
        <v>658</v>
      </c>
      <c r="F135" s="32" t="s">
        <v>21</v>
      </c>
      <c r="G135" s="18" t="s">
        <v>362</v>
      </c>
      <c r="H135" s="38" t="s">
        <v>680</v>
      </c>
      <c r="I135" s="35" t="str">
        <f>+MID(ListaPreciosProductos78910111230[[#This Row],[Precio PVP]],1,5)</f>
        <v>24,30</v>
      </c>
      <c r="J135" s="25" t="s">
        <v>24</v>
      </c>
      <c r="K135" s="26">
        <f t="shared" si="11"/>
        <v>0.43</v>
      </c>
      <c r="L135" s="25">
        <f>+ROUND(ListaPreciosProductos78910111230[[#This Row],[Columna1]]*(1-ListaPreciosProductos78910111230[[#This Row],[Descuento2]]),2)</f>
        <v>13.85</v>
      </c>
      <c r="M135" s="25" t="str">
        <f>+ListaPreciosProductos78910111230[[#This Row],[Precio Neto]]&amp;" "&amp;ListaPreciosProductos78910111230[[#This Row],[Columna2]]</f>
        <v>13,85 €/m2</v>
      </c>
    </row>
    <row r="136" spans="2:13" ht="30" customHeight="1" x14ac:dyDescent="0.25">
      <c r="B136" s="14" t="s">
        <v>370</v>
      </c>
      <c r="C136" s="15" t="s">
        <v>371</v>
      </c>
      <c r="D136" s="16" t="s">
        <v>372</v>
      </c>
      <c r="E136" s="128" t="s">
        <v>659</v>
      </c>
      <c r="F136" s="32" t="s">
        <v>21</v>
      </c>
      <c r="G136" s="18" t="s">
        <v>373</v>
      </c>
      <c r="H136" s="38" t="s">
        <v>679</v>
      </c>
      <c r="I136" s="35" t="str">
        <f>+MID(ListaPreciosProductos78910111230[[#This Row],[Precio PVP]],1,5)</f>
        <v>18,30</v>
      </c>
      <c r="J136" s="25" t="s">
        <v>24</v>
      </c>
      <c r="K136" s="26">
        <f t="shared" si="11"/>
        <v>0.43</v>
      </c>
      <c r="L136" s="25">
        <f>+ROUND(ListaPreciosProductos78910111230[[#This Row],[Columna1]]*(1-ListaPreciosProductos78910111230[[#This Row],[Descuento2]]),2)</f>
        <v>10.43</v>
      </c>
      <c r="M136" s="25" t="str">
        <f>+ListaPreciosProductos78910111230[[#This Row],[Precio Neto]]&amp;" "&amp;ListaPreciosProductos78910111230[[#This Row],[Columna2]]</f>
        <v>10,43 €/m2</v>
      </c>
    </row>
    <row r="137" spans="2:13" ht="30" customHeight="1" x14ac:dyDescent="0.25">
      <c r="B137" s="14" t="s">
        <v>374</v>
      </c>
      <c r="C137" s="15" t="s">
        <v>375</v>
      </c>
      <c r="D137" s="16" t="s">
        <v>376</v>
      </c>
      <c r="E137" s="128" t="s">
        <v>659</v>
      </c>
      <c r="F137" s="32" t="s">
        <v>21</v>
      </c>
      <c r="G137" s="18" t="s">
        <v>373</v>
      </c>
      <c r="H137" s="38" t="s">
        <v>680</v>
      </c>
      <c r="I137" s="35" t="str">
        <f>+MID(ListaPreciosProductos78910111230[[#This Row],[Precio PVP]],1,5)</f>
        <v>24,30</v>
      </c>
      <c r="J137" s="25" t="s">
        <v>24</v>
      </c>
      <c r="K137" s="26">
        <f t="shared" si="11"/>
        <v>0.43</v>
      </c>
      <c r="L137" s="25">
        <f>+ROUND(ListaPreciosProductos78910111230[[#This Row],[Columna1]]*(1-ListaPreciosProductos78910111230[[#This Row],[Descuento2]]),2)</f>
        <v>13.85</v>
      </c>
      <c r="M137" s="25" t="str">
        <f>+ListaPreciosProductos78910111230[[#This Row],[Precio Neto]]&amp;" "&amp;ListaPreciosProductos78910111230[[#This Row],[Columna2]]</f>
        <v>13,85 €/m2</v>
      </c>
    </row>
    <row r="138" spans="2:13" ht="30" hidden="1" customHeight="1" x14ac:dyDescent="0.25">
      <c r="B138" s="14" t="s">
        <v>377</v>
      </c>
      <c r="C138" s="15" t="s">
        <v>378</v>
      </c>
      <c r="D138" s="16" t="s">
        <v>379</v>
      </c>
      <c r="E138" s="128" t="s">
        <v>660</v>
      </c>
      <c r="F138" s="32" t="s">
        <v>21</v>
      </c>
      <c r="G138" s="18" t="s">
        <v>380</v>
      </c>
      <c r="H138" s="24" t="s">
        <v>381</v>
      </c>
      <c r="I138" s="35" t="str">
        <f>+MID(ListaPreciosProductos78910111230[[#This Row],[Precio PVP]],1,5)</f>
        <v>59,50</v>
      </c>
      <c r="J138" s="25">
        <f>ListaPreciosProductos78910111230[[#This Row],[Columna1]]*0.57</f>
        <v>33.914999999999999</v>
      </c>
      <c r="K138" s="26">
        <f t="shared" ref="K138:K139" si="12">+$H$7</f>
        <v>0.43</v>
      </c>
      <c r="L138" s="25">
        <f>+ROUND(ListaPreciosProductos78910111230[[#This Row],[Columna1]]*(1-ListaPreciosProductos78910111230[[#This Row],[Descuento2]]),2)</f>
        <v>33.92</v>
      </c>
      <c r="M138" s="25" t="str">
        <f>+ListaPreciosProductos78910111230[[#This Row],[Precio Neto]]&amp;" "&amp;ListaPreciosProductos78910111230[[#This Row],[Columna2]]</f>
        <v>33,92 33,915</v>
      </c>
    </row>
    <row r="139" spans="2:13" ht="30" hidden="1" customHeight="1" x14ac:dyDescent="0.25">
      <c r="B139" s="14" t="s">
        <v>382</v>
      </c>
      <c r="C139" s="15" t="s">
        <v>383</v>
      </c>
      <c r="D139" s="16" t="s">
        <v>384</v>
      </c>
      <c r="E139" s="128" t="s">
        <v>660</v>
      </c>
      <c r="F139" s="32" t="s">
        <v>21</v>
      </c>
      <c r="G139" s="18" t="s">
        <v>380</v>
      </c>
      <c r="H139" s="24" t="s">
        <v>385</v>
      </c>
      <c r="I139" s="35" t="str">
        <f>+MID(ListaPreciosProductos78910111230[[#This Row],[Precio PVP]],1,5)</f>
        <v>65,50</v>
      </c>
      <c r="J139" s="25">
        <f>ListaPreciosProductos78910111230[[#This Row],[Columna1]]*0.57</f>
        <v>37.334999999999994</v>
      </c>
      <c r="K139" s="26">
        <f t="shared" si="12"/>
        <v>0.43</v>
      </c>
      <c r="L139" s="25">
        <f>+ROUND(ListaPreciosProductos78910111230[[#This Row],[Columna1]]*(1-ListaPreciosProductos78910111230[[#This Row],[Descuento2]]),2)</f>
        <v>37.340000000000003</v>
      </c>
      <c r="M139" s="25" t="str">
        <f>+ListaPreciosProductos78910111230[[#This Row],[Precio Neto]]&amp;" "&amp;ListaPreciosProductos78910111230[[#This Row],[Columna2]]</f>
        <v>37,34 37,335</v>
      </c>
    </row>
    <row r="140" spans="2:13" ht="30" customHeight="1" x14ac:dyDescent="0.25">
      <c r="B140" s="14" t="s">
        <v>656</v>
      </c>
      <c r="C140" s="15" t="s">
        <v>657</v>
      </c>
      <c r="D140" s="128" t="s">
        <v>667</v>
      </c>
      <c r="E140" s="128" t="s">
        <v>661</v>
      </c>
      <c r="F140" s="32" t="s">
        <v>21</v>
      </c>
      <c r="G140" s="18" t="s">
        <v>662</v>
      </c>
      <c r="H140" s="38" t="s">
        <v>679</v>
      </c>
      <c r="I140" s="35" t="str">
        <f>+MID(ListaPreciosProductos78910111230[[#This Row],[Precio PVP]],1,5)</f>
        <v>18,30</v>
      </c>
      <c r="J140" s="25" t="s">
        <v>24</v>
      </c>
      <c r="K140" s="26">
        <f t="shared" si="11"/>
        <v>0.43</v>
      </c>
      <c r="L140" s="25">
        <f>+ROUND(ListaPreciosProductos78910111230[[#This Row],[Columna1]]*(1-ListaPreciosProductos78910111230[[#This Row],[Descuento2]]),2)</f>
        <v>10.43</v>
      </c>
      <c r="M140" s="25" t="str">
        <f>+ListaPreciosProductos78910111230[[#This Row],[Precio Neto]]&amp;" "&amp;ListaPreciosProductos78910111230[[#This Row],[Columna2]]</f>
        <v>10,43 €/m2</v>
      </c>
    </row>
    <row r="141" spans="2:13" ht="30" customHeight="1" x14ac:dyDescent="0.25">
      <c r="B141" s="14" t="s">
        <v>664</v>
      </c>
      <c r="C141" s="15" t="s">
        <v>663</v>
      </c>
      <c r="D141" s="128" t="s">
        <v>668</v>
      </c>
      <c r="E141" s="128" t="s">
        <v>661</v>
      </c>
      <c r="F141" s="32" t="s">
        <v>21</v>
      </c>
      <c r="G141" s="18" t="s">
        <v>662</v>
      </c>
      <c r="H141" s="38" t="s">
        <v>680</v>
      </c>
      <c r="I141" s="35" t="str">
        <f>+MID(ListaPreciosProductos78910111230[[#This Row],[Precio PVP]],1,5)</f>
        <v>24,30</v>
      </c>
      <c r="J141" s="25" t="s">
        <v>24</v>
      </c>
      <c r="K141" s="26">
        <f t="shared" si="11"/>
        <v>0.43</v>
      </c>
      <c r="L141" s="25">
        <f>+ROUND(ListaPreciosProductos78910111230[[#This Row],[Columna1]]*(1-ListaPreciosProductos78910111230[[#This Row],[Descuento2]]),2)</f>
        <v>13.85</v>
      </c>
      <c r="M141" s="25" t="str">
        <f>+ListaPreciosProductos78910111230[[#This Row],[Precio Neto]]&amp;" "&amp;ListaPreciosProductos78910111230[[#This Row],[Columna2]]</f>
        <v>13,85 €/m2</v>
      </c>
    </row>
    <row r="142" spans="2:13" ht="30" customHeight="1" x14ac:dyDescent="0.25">
      <c r="B142" s="130" t="s">
        <v>665</v>
      </c>
      <c r="C142" s="15" t="s">
        <v>366</v>
      </c>
      <c r="D142" s="16" t="s">
        <v>367</v>
      </c>
      <c r="E142" s="128" t="s">
        <v>661</v>
      </c>
      <c r="F142" s="32" t="s">
        <v>21</v>
      </c>
      <c r="G142" s="18" t="s">
        <v>662</v>
      </c>
      <c r="H142" s="24" t="s">
        <v>679</v>
      </c>
      <c r="I142" s="35" t="str">
        <f>+MID(ListaPreciosProductos78910111230[[#This Row],[Precio PVP]],1,5)</f>
        <v>18,30</v>
      </c>
      <c r="J142" s="25" t="s">
        <v>24</v>
      </c>
      <c r="K142" s="26">
        <f t="shared" si="11"/>
        <v>0.43</v>
      </c>
      <c r="L142" s="25">
        <f>+ROUND(ListaPreciosProductos78910111230[[#This Row],[Columna1]]*(1-ListaPreciosProductos78910111230[[#This Row],[Descuento2]]),2)</f>
        <v>10.43</v>
      </c>
      <c r="M142" s="25" t="str">
        <f>+ListaPreciosProductos78910111230[[#This Row],[Precio Neto]]&amp;" "&amp;ListaPreciosProductos78910111230[[#This Row],[Columna2]]</f>
        <v>10,43 €/m2</v>
      </c>
    </row>
    <row r="143" spans="2:13" ht="30" customHeight="1" x14ac:dyDescent="0.25">
      <c r="B143" s="131" t="s">
        <v>666</v>
      </c>
      <c r="C143" s="42" t="s">
        <v>368</v>
      </c>
      <c r="D143" s="73" t="s">
        <v>369</v>
      </c>
      <c r="E143" s="129" t="s">
        <v>661</v>
      </c>
      <c r="F143" s="45" t="s">
        <v>21</v>
      </c>
      <c r="G143" s="74" t="s">
        <v>662</v>
      </c>
      <c r="H143" s="65" t="s">
        <v>680</v>
      </c>
      <c r="I143" s="35" t="str">
        <f>+MID(ListaPreciosProductos78910111230[[#This Row],[Precio PVP]],1,5)</f>
        <v>24,30</v>
      </c>
      <c r="J143" s="25" t="s">
        <v>24</v>
      </c>
      <c r="K143" s="26">
        <f t="shared" si="11"/>
        <v>0.43</v>
      </c>
      <c r="L143" s="25">
        <f>+ROUND(ListaPreciosProductos78910111230[[#This Row],[Columna1]]*(1-ListaPreciosProductos78910111230[[#This Row],[Descuento2]]),2)</f>
        <v>13.85</v>
      </c>
      <c r="M143" s="25" t="str">
        <f>+ListaPreciosProductos78910111230[[#This Row],[Precio Neto]]&amp;" "&amp;ListaPreciosProductos78910111230[[#This Row],[Columna2]]</f>
        <v>13,85 €/m2</v>
      </c>
    </row>
    <row r="144" spans="2:13" ht="12" customHeight="1" x14ac:dyDescent="0.25">
      <c r="B144" s="14"/>
      <c r="C144" s="15"/>
      <c r="D144" s="16"/>
      <c r="E144" s="16"/>
      <c r="F144" s="32"/>
      <c r="G144" s="18"/>
      <c r="H144" s="19"/>
      <c r="I144" s="19"/>
    </row>
    <row r="145" spans="2:13" ht="16.5" customHeight="1" x14ac:dyDescent="0.25">
      <c r="B145" s="12"/>
      <c r="C145" s="12"/>
      <c r="D145" s="12"/>
      <c r="E145" s="12"/>
      <c r="F145" s="12"/>
      <c r="G145" s="13"/>
    </row>
    <row r="146" spans="2:13" ht="16.5" customHeight="1" x14ac:dyDescent="0.25">
      <c r="B146" s="12"/>
      <c r="C146" s="12"/>
      <c r="D146" s="12"/>
      <c r="E146" s="12"/>
      <c r="F146" s="12"/>
      <c r="G146" s="13"/>
    </row>
    <row r="147" spans="2:13" ht="15" x14ac:dyDescent="0.25">
      <c r="B147" s="12"/>
      <c r="C147" s="12"/>
      <c r="D147" s="12"/>
      <c r="E147" s="12"/>
      <c r="F147" s="12"/>
      <c r="G147" s="13"/>
    </row>
    <row r="148" spans="2:13" ht="15.75" customHeight="1" x14ac:dyDescent="0.25">
      <c r="B148" s="138" t="s">
        <v>386</v>
      </c>
      <c r="C148" s="138"/>
      <c r="D148" s="138"/>
      <c r="E148" s="12"/>
      <c r="F148" s="12"/>
      <c r="G148" s="13"/>
    </row>
    <row r="149" spans="2:13" ht="3.75" customHeight="1" x14ac:dyDescent="0.25">
      <c r="B149" s="12"/>
      <c r="C149" s="12"/>
      <c r="D149" s="12"/>
      <c r="E149" s="12"/>
      <c r="F149" s="12"/>
      <c r="G149" s="13"/>
    </row>
    <row r="150" spans="2:13" ht="27" customHeight="1" x14ac:dyDescent="0.25">
      <c r="B150" s="75" t="s">
        <v>5</v>
      </c>
      <c r="C150" s="75" t="s">
        <v>6</v>
      </c>
      <c r="D150" s="75" t="s">
        <v>7</v>
      </c>
      <c r="E150" s="75" t="s">
        <v>8</v>
      </c>
      <c r="F150" s="76" t="s">
        <v>9</v>
      </c>
      <c r="G150" s="77" t="s">
        <v>10</v>
      </c>
      <c r="H150" s="77" t="s">
        <v>11</v>
      </c>
      <c r="I150" s="78" t="s">
        <v>12</v>
      </c>
      <c r="J150" s="78" t="s">
        <v>13</v>
      </c>
      <c r="K150" s="78" t="s">
        <v>14</v>
      </c>
      <c r="L150" s="78" t="s">
        <v>15</v>
      </c>
      <c r="M150" s="78" t="s">
        <v>16</v>
      </c>
    </row>
    <row r="151" spans="2:13" ht="30" customHeight="1" x14ac:dyDescent="0.25">
      <c r="B151" s="14" t="s">
        <v>387</v>
      </c>
      <c r="C151" s="15" t="s">
        <v>388</v>
      </c>
      <c r="D151" s="16" t="s">
        <v>389</v>
      </c>
      <c r="E151" s="16" t="s">
        <v>390</v>
      </c>
      <c r="F151" s="32" t="s">
        <v>21</v>
      </c>
      <c r="G151" s="18" t="s">
        <v>391</v>
      </c>
      <c r="H151" s="38" t="s">
        <v>392</v>
      </c>
      <c r="I151" s="35" t="str">
        <f>+MID(ListaPreciosProductos71331[[#This Row],[Precio PVP]],1,5)</f>
        <v xml:space="preserve">2,45 </v>
      </c>
      <c r="J151" s="25" t="s">
        <v>24</v>
      </c>
      <c r="K151" s="26">
        <f t="shared" ref="K151:K152" si="13">+$H$7</f>
        <v>0.43</v>
      </c>
      <c r="L151" s="27">
        <f>+ROUND(ListaPreciosProductos71331[[#This Row],[Columna1]]*(1-ListaPreciosProductos71331[[#This Row],[Descuento2]]),2)</f>
        <v>1.4</v>
      </c>
      <c r="M151" s="25" t="str">
        <f>+ListaPreciosProductos71331[[#This Row],[Precio Neto]]&amp;" "&amp;ListaPreciosProductos71331[[#This Row],[Columna2]]</f>
        <v>1,4 €/m2</v>
      </c>
    </row>
    <row r="152" spans="2:13" ht="30" customHeight="1" x14ac:dyDescent="0.25">
      <c r="B152" s="14" t="s">
        <v>393</v>
      </c>
      <c r="C152" s="15" t="s">
        <v>394</v>
      </c>
      <c r="D152" s="16" t="s">
        <v>395</v>
      </c>
      <c r="E152" s="16" t="s">
        <v>390</v>
      </c>
      <c r="F152" s="32" t="s">
        <v>21</v>
      </c>
      <c r="G152" s="18" t="s">
        <v>391</v>
      </c>
      <c r="H152" s="38" t="s">
        <v>396</v>
      </c>
      <c r="I152" s="35" t="str">
        <f>+MID(ListaPreciosProductos71331[[#This Row],[Precio PVP]],1,5)</f>
        <v xml:space="preserve">4,85 </v>
      </c>
      <c r="J152" s="25" t="s">
        <v>24</v>
      </c>
      <c r="K152" s="26">
        <f t="shared" si="13"/>
        <v>0.43</v>
      </c>
      <c r="L152" s="25">
        <f>+ROUND(ListaPreciosProductos71331[[#This Row],[Columna1]]*(1-ListaPreciosProductos71331[[#This Row],[Descuento2]]),2)</f>
        <v>2.76</v>
      </c>
      <c r="M152" s="25" t="str">
        <f>+ListaPreciosProductos71331[[#This Row],[Precio Neto]]&amp;" "&amp;ListaPreciosProductos71331[[#This Row],[Columna2]]</f>
        <v>2,76 €/m2</v>
      </c>
    </row>
    <row r="153" spans="2:13" ht="11.25" customHeight="1" x14ac:dyDescent="0.25"/>
    <row r="154" spans="2:13" ht="15.75" customHeight="1" x14ac:dyDescent="0.25">
      <c r="B154" s="138" t="s">
        <v>397</v>
      </c>
      <c r="C154" s="138"/>
      <c r="D154" s="138"/>
      <c r="E154" s="12"/>
      <c r="F154" s="12"/>
      <c r="G154" s="13"/>
    </row>
    <row r="155" spans="2:13" ht="3.75" customHeight="1" x14ac:dyDescent="0.25">
      <c r="B155" s="12"/>
      <c r="C155" s="12"/>
      <c r="D155" s="12"/>
      <c r="E155" s="12"/>
      <c r="F155" s="12"/>
      <c r="G155" s="13"/>
    </row>
    <row r="156" spans="2:13" ht="23.45" customHeight="1" x14ac:dyDescent="0.25">
      <c r="B156" s="75" t="s">
        <v>5</v>
      </c>
      <c r="C156" s="75" t="s">
        <v>6</v>
      </c>
      <c r="D156" s="75" t="s">
        <v>7</v>
      </c>
      <c r="E156" s="75" t="s">
        <v>8</v>
      </c>
      <c r="F156" s="76" t="s">
        <v>9</v>
      </c>
      <c r="G156" s="77" t="s">
        <v>10</v>
      </c>
      <c r="H156" s="77" t="s">
        <v>11</v>
      </c>
      <c r="I156" s="75" t="s">
        <v>12</v>
      </c>
      <c r="J156" s="78" t="s">
        <v>13</v>
      </c>
      <c r="K156" s="78" t="s">
        <v>14</v>
      </c>
      <c r="L156" s="78" t="s">
        <v>15</v>
      </c>
      <c r="M156" s="78" t="s">
        <v>16</v>
      </c>
    </row>
    <row r="157" spans="2:13" ht="23.45" customHeight="1" x14ac:dyDescent="0.25">
      <c r="B157" s="14" t="s">
        <v>398</v>
      </c>
      <c r="C157" s="15" t="s">
        <v>399</v>
      </c>
      <c r="D157" s="16" t="s">
        <v>400</v>
      </c>
      <c r="E157" s="16" t="s">
        <v>401</v>
      </c>
      <c r="F157" s="32" t="s">
        <v>21</v>
      </c>
      <c r="G157" s="18" t="s">
        <v>402</v>
      </c>
      <c r="H157" s="38" t="s">
        <v>403</v>
      </c>
      <c r="I157" s="35" t="str">
        <f>+MID(ListaPreciosProductos781432[[#This Row],[Precio PVP]],1,5)</f>
        <v xml:space="preserve">0,60 </v>
      </c>
      <c r="J157" s="25" t="s">
        <v>24</v>
      </c>
      <c r="K157" s="26">
        <f t="shared" ref="K157:K159" si="14">+$H$7</f>
        <v>0.43</v>
      </c>
      <c r="L157" s="27">
        <f>+ROUND(ListaPreciosProductos781432[[#This Row],[Columna1]]*(1-ListaPreciosProductos781432[[#This Row],[Descuento2]]),2)</f>
        <v>0.34</v>
      </c>
      <c r="M157" s="25" t="str">
        <f>+ListaPreciosProductos781432[[#This Row],[Precio Neto]]&amp;" "&amp;ListaPreciosProductos781432[[#This Row],[Columna2]]</f>
        <v>0,34 €/m2</v>
      </c>
    </row>
    <row r="158" spans="2:13" ht="23.45" customHeight="1" x14ac:dyDescent="0.25">
      <c r="B158" s="14" t="s">
        <v>404</v>
      </c>
      <c r="C158" s="15" t="s">
        <v>405</v>
      </c>
      <c r="D158" s="16" t="s">
        <v>406</v>
      </c>
      <c r="E158" s="16" t="s">
        <v>407</v>
      </c>
      <c r="F158" s="32" t="s">
        <v>21</v>
      </c>
      <c r="G158" s="18" t="s">
        <v>408</v>
      </c>
      <c r="H158" s="38" t="s">
        <v>409</v>
      </c>
      <c r="I158" s="35" t="str">
        <f>+MID(ListaPreciosProductos781432[[#This Row],[Precio PVP]],1,5)</f>
        <v xml:space="preserve">0,90 </v>
      </c>
      <c r="J158" s="25" t="s">
        <v>24</v>
      </c>
      <c r="K158" s="26">
        <f t="shared" si="14"/>
        <v>0.43</v>
      </c>
      <c r="L158" s="25">
        <f>+ROUND(ListaPreciosProductos781432[[#This Row],[Columna1]]*(1-ListaPreciosProductos781432[[#This Row],[Descuento2]]),2)</f>
        <v>0.51</v>
      </c>
      <c r="M158" s="25" t="str">
        <f>+ListaPreciosProductos781432[[#This Row],[Precio Neto]]&amp;" "&amp;ListaPreciosProductos781432[[#This Row],[Columna2]]</f>
        <v>0,51 €/m2</v>
      </c>
    </row>
    <row r="159" spans="2:13" ht="23.45" customHeight="1" x14ac:dyDescent="0.25">
      <c r="B159" s="30" t="s">
        <v>410</v>
      </c>
      <c r="C159" s="15" t="s">
        <v>411</v>
      </c>
      <c r="D159" s="16" t="s">
        <v>412</v>
      </c>
      <c r="E159" s="16" t="s">
        <v>139</v>
      </c>
      <c r="F159" s="32" t="s">
        <v>21</v>
      </c>
      <c r="G159" s="18" t="s">
        <v>413</v>
      </c>
      <c r="H159" s="24" t="s">
        <v>414</v>
      </c>
      <c r="I159" s="35" t="str">
        <f>+MID(ListaPreciosProductos781432[[#This Row],[Precio PVP]],1,5)</f>
        <v xml:space="preserve">2,95 </v>
      </c>
      <c r="J159" s="25" t="s">
        <v>24</v>
      </c>
      <c r="K159" s="26">
        <f t="shared" si="14"/>
        <v>0.43</v>
      </c>
      <c r="L159" s="25">
        <f>+ROUND(ListaPreciosProductos781432[[#This Row],[Columna1]]*(1-ListaPreciosProductos781432[[#This Row],[Descuento2]]),2)</f>
        <v>1.68</v>
      </c>
      <c r="M159" s="25" t="str">
        <f>+ListaPreciosProductos781432[[#This Row],[Precio Neto]]&amp;" "&amp;ListaPreciosProductos781432[[#This Row],[Columna2]]</f>
        <v>1,68 €/m2</v>
      </c>
    </row>
    <row r="160" spans="2:13" ht="7.5" customHeight="1" x14ac:dyDescent="0.25">
      <c r="B160" s="30"/>
      <c r="C160" s="15"/>
      <c r="D160" s="16"/>
      <c r="E160" s="16"/>
      <c r="F160" s="32"/>
      <c r="G160" s="18"/>
      <c r="H160" s="19"/>
      <c r="I160" s="19"/>
    </row>
    <row r="161" spans="2:13" ht="15.75" customHeight="1" x14ac:dyDescent="0.25">
      <c r="B161" s="138" t="s">
        <v>415</v>
      </c>
      <c r="C161" s="138"/>
      <c r="D161" s="138"/>
      <c r="E161" s="12"/>
      <c r="F161" s="12"/>
      <c r="G161" s="13"/>
    </row>
    <row r="162" spans="2:13" ht="3.75" customHeight="1" x14ac:dyDescent="0.25">
      <c r="B162" s="12"/>
      <c r="C162" s="12"/>
      <c r="D162" s="12"/>
      <c r="E162" s="12"/>
      <c r="F162" s="12"/>
      <c r="G162" s="13"/>
    </row>
    <row r="163" spans="2:13" ht="27" customHeight="1" x14ac:dyDescent="0.25">
      <c r="B163" s="75" t="s">
        <v>5</v>
      </c>
      <c r="C163" s="75" t="s">
        <v>6</v>
      </c>
      <c r="D163" s="75" t="s">
        <v>7</v>
      </c>
      <c r="E163" s="75" t="s">
        <v>8</v>
      </c>
      <c r="F163" s="76" t="s">
        <v>9</v>
      </c>
      <c r="G163" s="77" t="s">
        <v>10</v>
      </c>
      <c r="H163" s="77" t="s">
        <v>11</v>
      </c>
      <c r="I163" s="75" t="s">
        <v>12</v>
      </c>
      <c r="J163" s="78" t="s">
        <v>13</v>
      </c>
      <c r="K163" s="78" t="s">
        <v>14</v>
      </c>
      <c r="L163" s="78" t="s">
        <v>15</v>
      </c>
      <c r="M163" s="78" t="s">
        <v>16</v>
      </c>
    </row>
    <row r="164" spans="2:13" ht="23.1" customHeight="1" x14ac:dyDescent="0.25">
      <c r="B164" s="30" t="s">
        <v>416</v>
      </c>
      <c r="C164" s="15" t="s">
        <v>417</v>
      </c>
      <c r="D164" s="16" t="s">
        <v>418</v>
      </c>
      <c r="E164" s="16" t="s">
        <v>419</v>
      </c>
      <c r="F164" s="32" t="s">
        <v>187</v>
      </c>
      <c r="G164" s="18" t="s">
        <v>420</v>
      </c>
      <c r="H164" s="79" t="s">
        <v>421</v>
      </c>
      <c r="I164" s="35" t="str">
        <f>+MID(ListaPreciosProductos78142036[[#This Row],[Precio PVP]],1,5)</f>
        <v xml:space="preserve">1,95 </v>
      </c>
      <c r="J164" s="25" t="s">
        <v>190</v>
      </c>
      <c r="K164" s="26">
        <f t="shared" ref="K164:K168" si="15">+$H$7</f>
        <v>0.43</v>
      </c>
      <c r="L164" s="27">
        <f>+ROUND(ListaPreciosProductos78142036[[#This Row],[Columna1]]*(1-ListaPreciosProductos78142036[[#This Row],[Descuento2]]),2)</f>
        <v>1.1100000000000001</v>
      </c>
      <c r="M164" s="25" t="str">
        <f>+ListaPreciosProductos78142036[[#This Row],[Precio Neto]]&amp;" "&amp;ListaPreciosProductos78142036[[#This Row],[Columna2]]</f>
        <v>1,11 €/mL</v>
      </c>
    </row>
    <row r="165" spans="2:13" ht="23.1" customHeight="1" x14ac:dyDescent="0.25">
      <c r="B165" s="14" t="s">
        <v>422</v>
      </c>
      <c r="C165" s="15" t="s">
        <v>423</v>
      </c>
      <c r="D165" s="16" t="s">
        <v>424</v>
      </c>
      <c r="E165" s="16" t="s">
        <v>419</v>
      </c>
      <c r="F165" s="32" t="s">
        <v>187</v>
      </c>
      <c r="G165" s="18" t="s">
        <v>425</v>
      </c>
      <c r="H165" s="79" t="s">
        <v>426</v>
      </c>
      <c r="I165" s="80" t="str">
        <f>+MID(ListaPreciosProductos78142036[[#This Row],[Precio PVP]],1,5)</f>
        <v xml:space="preserve">1,45 </v>
      </c>
      <c r="J165" s="25" t="s">
        <v>190</v>
      </c>
      <c r="K165" s="26">
        <f t="shared" si="15"/>
        <v>0.43</v>
      </c>
      <c r="L165" s="25">
        <f>+ROUND(ListaPreciosProductos78142036[[#This Row],[Columna1]]*(1-ListaPreciosProductos78142036[[#This Row],[Descuento2]]),2)</f>
        <v>0.83</v>
      </c>
      <c r="M165" s="25" t="str">
        <f>+ListaPreciosProductos78142036[[#This Row],[Precio Neto]]&amp;" "&amp;ListaPreciosProductos78142036[[#This Row],[Columna2]]</f>
        <v>0,83 €/mL</v>
      </c>
    </row>
    <row r="166" spans="2:13" ht="23.1" customHeight="1" x14ac:dyDescent="0.25">
      <c r="B166" s="14" t="s">
        <v>427</v>
      </c>
      <c r="C166" s="15" t="s">
        <v>428</v>
      </c>
      <c r="D166" s="16" t="s">
        <v>429</v>
      </c>
      <c r="E166" s="16" t="s">
        <v>430</v>
      </c>
      <c r="F166" s="32" t="s">
        <v>187</v>
      </c>
      <c r="G166" s="18" t="s">
        <v>431</v>
      </c>
      <c r="H166" s="24" t="s">
        <v>432</v>
      </c>
      <c r="I166" s="35" t="str">
        <f>+MID(ListaPreciosProductos78142036[[#This Row],[Precio PVP]],1,5)</f>
        <v xml:space="preserve">0,43 </v>
      </c>
      <c r="J166" s="25" t="s">
        <v>190</v>
      </c>
      <c r="K166" s="26">
        <f t="shared" si="15"/>
        <v>0.43</v>
      </c>
      <c r="L166" s="25">
        <f>+ROUND(ListaPreciosProductos78142036[[#This Row],[Columna1]]*(1-ListaPreciosProductos78142036[[#This Row],[Descuento2]]),2)</f>
        <v>0.25</v>
      </c>
      <c r="M166" s="25" t="str">
        <f>+ListaPreciosProductos78142036[[#This Row],[Precio Neto]]&amp;" "&amp;ListaPreciosProductos78142036[[#This Row],[Columna2]]</f>
        <v>0,25 €/mL</v>
      </c>
    </row>
    <row r="167" spans="2:13" ht="23.1" customHeight="1" x14ac:dyDescent="0.25">
      <c r="B167" s="30" t="s">
        <v>433</v>
      </c>
      <c r="C167" s="15" t="s">
        <v>434</v>
      </c>
      <c r="D167" s="16" t="s">
        <v>435</v>
      </c>
      <c r="E167" s="16" t="s">
        <v>436</v>
      </c>
      <c r="F167" s="32" t="s">
        <v>187</v>
      </c>
      <c r="G167" s="18" t="s">
        <v>437</v>
      </c>
      <c r="H167" s="24" t="s">
        <v>337</v>
      </c>
      <c r="I167" s="35" t="str">
        <f>+MID(ListaPreciosProductos78142036[[#This Row],[Precio PVP]],1,5)</f>
        <v xml:space="preserve">0,95 </v>
      </c>
      <c r="J167" s="25" t="s">
        <v>190</v>
      </c>
      <c r="K167" s="26">
        <f t="shared" si="15"/>
        <v>0.43</v>
      </c>
      <c r="L167" s="25">
        <f>+ROUND(ListaPreciosProductos78142036[[#This Row],[Columna1]]*(1-ListaPreciosProductos78142036[[#This Row],[Descuento2]]),2)</f>
        <v>0.54</v>
      </c>
      <c r="M167" s="25" t="str">
        <f>+ListaPreciosProductos78142036[[#This Row],[Precio Neto]]&amp;" "&amp;ListaPreciosProductos78142036[[#This Row],[Columna2]]</f>
        <v>0,54 €/mL</v>
      </c>
    </row>
    <row r="168" spans="2:13" ht="23.1" customHeight="1" x14ac:dyDescent="0.25">
      <c r="B168" s="30" t="s">
        <v>438</v>
      </c>
      <c r="C168" s="15" t="s">
        <v>439</v>
      </c>
      <c r="D168" s="16" t="s">
        <v>440</v>
      </c>
      <c r="E168" s="16" t="s">
        <v>436</v>
      </c>
      <c r="F168" s="32" t="s">
        <v>187</v>
      </c>
      <c r="G168" s="18" t="s">
        <v>437</v>
      </c>
      <c r="H168" s="24" t="s">
        <v>441</v>
      </c>
      <c r="I168" s="35" t="str">
        <f>+MID(ListaPreciosProductos78142036[[#This Row],[Precio PVP]],1,5)</f>
        <v xml:space="preserve">1,90 </v>
      </c>
      <c r="J168" s="25" t="s">
        <v>190</v>
      </c>
      <c r="K168" s="26">
        <f t="shared" si="15"/>
        <v>0.43</v>
      </c>
      <c r="L168" s="25">
        <f>+ROUND(ListaPreciosProductos78142036[[#This Row],[Columna1]]*(1-ListaPreciosProductos78142036[[#This Row],[Descuento2]]),2)</f>
        <v>1.08</v>
      </c>
      <c r="M168" s="25" t="str">
        <f>+ListaPreciosProductos78142036[[#This Row],[Precio Neto]]&amp;" "&amp;ListaPreciosProductos78142036[[#This Row],[Columna2]]</f>
        <v>1,08 €/mL</v>
      </c>
    </row>
    <row r="169" spans="2:13" ht="7.5" customHeight="1" x14ac:dyDescent="0.25"/>
    <row r="170" spans="2:13" ht="15.75" customHeight="1" x14ac:dyDescent="0.25">
      <c r="B170" s="138" t="s">
        <v>442</v>
      </c>
      <c r="C170" s="138"/>
      <c r="D170" s="138"/>
      <c r="E170" s="12"/>
      <c r="F170" s="12"/>
      <c r="G170" s="13"/>
    </row>
    <row r="171" spans="2:13" ht="27" customHeight="1" x14ac:dyDescent="0.25">
      <c r="B171" s="75" t="s">
        <v>5</v>
      </c>
      <c r="C171" s="75" t="s">
        <v>6</v>
      </c>
      <c r="D171" s="75" t="s">
        <v>7</v>
      </c>
      <c r="E171" s="75" t="s">
        <v>8</v>
      </c>
      <c r="F171" s="76" t="s">
        <v>9</v>
      </c>
      <c r="G171" s="77" t="s">
        <v>10</v>
      </c>
      <c r="H171" s="77" t="s">
        <v>11</v>
      </c>
      <c r="I171" s="75" t="s">
        <v>12</v>
      </c>
      <c r="J171" s="78" t="s">
        <v>13</v>
      </c>
      <c r="K171" s="78" t="s">
        <v>14</v>
      </c>
      <c r="L171" s="78" t="s">
        <v>15</v>
      </c>
      <c r="M171" s="78" t="s">
        <v>16</v>
      </c>
    </row>
    <row r="172" spans="2:13" ht="24.95" customHeight="1" x14ac:dyDescent="0.25">
      <c r="B172" s="14" t="s">
        <v>443</v>
      </c>
      <c r="C172" s="15" t="s">
        <v>444</v>
      </c>
      <c r="D172" s="16" t="s">
        <v>445</v>
      </c>
      <c r="E172" s="16" t="s">
        <v>390</v>
      </c>
      <c r="F172" s="32" t="s">
        <v>21</v>
      </c>
      <c r="G172" s="18" t="s">
        <v>391</v>
      </c>
      <c r="H172" s="38" t="s">
        <v>580</v>
      </c>
      <c r="I172" s="35" t="str">
        <f>+MID(ListaPreciosProductos7891533[[#This Row],[Precio PVP]],1,5)</f>
        <v xml:space="preserve">0,80 </v>
      </c>
      <c r="J172" s="25" t="s">
        <v>24</v>
      </c>
      <c r="K172" s="26">
        <f t="shared" ref="K172:K173" si="16">+$H$7</f>
        <v>0.43</v>
      </c>
      <c r="L172" s="27">
        <f>+ROUND(ListaPreciosProductos7891533[[#This Row],[Columna1]]*(1-ListaPreciosProductos7891533[[#This Row],[Descuento2]]),2)</f>
        <v>0.46</v>
      </c>
      <c r="M172" s="25" t="str">
        <f>+ListaPreciosProductos7891533[[#This Row],[Precio Neto]]&amp;" "&amp;ListaPreciosProductos7891533[[#This Row],[Columna2]]</f>
        <v>0,46 €/m2</v>
      </c>
    </row>
    <row r="173" spans="2:13" ht="24.95" customHeight="1" x14ac:dyDescent="0.25">
      <c r="B173" s="14" t="s">
        <v>446</v>
      </c>
      <c r="C173" s="15" t="s">
        <v>447</v>
      </c>
      <c r="D173" s="16" t="s">
        <v>445</v>
      </c>
      <c r="E173" s="54" t="s">
        <v>41</v>
      </c>
      <c r="F173" s="32" t="s">
        <v>21</v>
      </c>
      <c r="G173" s="18" t="s">
        <v>448</v>
      </c>
      <c r="H173" s="38" t="s">
        <v>409</v>
      </c>
      <c r="I173" s="35" t="str">
        <f>+MID(ListaPreciosProductos7891533[[#This Row],[Precio PVP]],1,5)</f>
        <v xml:space="preserve">0,90 </v>
      </c>
      <c r="J173" s="25" t="s">
        <v>24</v>
      </c>
      <c r="K173" s="26">
        <f t="shared" si="16"/>
        <v>0.43</v>
      </c>
      <c r="L173" s="27">
        <f>+ROUND(ListaPreciosProductos7891533[[#This Row],[Columna1]]*(1-ListaPreciosProductos7891533[[#This Row],[Descuento2]]),2)</f>
        <v>0.51</v>
      </c>
      <c r="M173" s="25" t="str">
        <f>+ListaPreciosProductos7891533[[#This Row],[Precio Neto]]&amp;" "&amp;ListaPreciosProductos7891533[[#This Row],[Columna2]]</f>
        <v>0,51 €/m2</v>
      </c>
    </row>
    <row r="174" spans="2:13" ht="24.95" customHeight="1" x14ac:dyDescent="0.25">
      <c r="B174" s="14" t="s">
        <v>449</v>
      </c>
      <c r="C174" s="15" t="s">
        <v>450</v>
      </c>
      <c r="D174" s="16" t="s">
        <v>451</v>
      </c>
      <c r="E174" s="16" t="s">
        <v>390</v>
      </c>
      <c r="F174" s="32" t="s">
        <v>21</v>
      </c>
      <c r="G174" s="18" t="s">
        <v>391</v>
      </c>
      <c r="H174" s="24" t="s">
        <v>581</v>
      </c>
      <c r="I174" s="35" t="str">
        <f>+MID(ListaPreciosProductos7891533[[#This Row],[Precio PVP]],1,5)</f>
        <v xml:space="preserve">0,95 </v>
      </c>
      <c r="J174" s="25"/>
      <c r="K174" s="26">
        <f>+$H$7</f>
        <v>0.43</v>
      </c>
      <c r="L174" s="27" t="e">
        <f>+ROUND(ListaPreciosProductos418[[#This Row],[Columna1]]*(1-ListaPreciosProductos418[[#This Row],[Descuento2]]),2)</f>
        <v>#VALUE!</v>
      </c>
      <c r="M174" s="25" t="e">
        <f>+ListaPreciosProductos418[[#This Row],[Precio Neto]]&amp;" "&amp;ListaPreciosProductos418[[#This Row],[Columna2]]</f>
        <v>#VALUE!</v>
      </c>
    </row>
    <row r="175" spans="2:13" ht="24.95" customHeight="1" x14ac:dyDescent="0.25">
      <c r="B175" s="14" t="s">
        <v>452</v>
      </c>
      <c r="C175" s="15" t="s">
        <v>453</v>
      </c>
      <c r="D175" s="16" t="s">
        <v>454</v>
      </c>
      <c r="E175" s="16" t="s">
        <v>139</v>
      </c>
      <c r="F175" s="32" t="s">
        <v>21</v>
      </c>
      <c r="G175" s="18" t="s">
        <v>413</v>
      </c>
      <c r="H175" s="24" t="s">
        <v>455</v>
      </c>
      <c r="I175" s="35" t="s">
        <v>456</v>
      </c>
      <c r="J175" s="25" t="s">
        <v>24</v>
      </c>
      <c r="K175" s="26">
        <v>0.43</v>
      </c>
      <c r="L175" s="25">
        <v>0.68</v>
      </c>
      <c r="M175" s="25" t="s">
        <v>457</v>
      </c>
    </row>
    <row r="176" spans="2:13" ht="17.25" customHeight="1" x14ac:dyDescent="0.25"/>
    <row r="177" spans="2:13" ht="15.75" customHeight="1" x14ac:dyDescent="0.25">
      <c r="B177" s="138" t="s">
        <v>458</v>
      </c>
      <c r="C177" s="138"/>
      <c r="D177" s="138"/>
      <c r="E177" s="12"/>
      <c r="F177" s="12"/>
      <c r="G177" s="13"/>
    </row>
    <row r="178" spans="2:13" ht="27" customHeight="1" x14ac:dyDescent="0.25">
      <c r="B178" s="75" t="s">
        <v>5</v>
      </c>
      <c r="C178" s="75" t="s">
        <v>6</v>
      </c>
      <c r="D178" s="75" t="s">
        <v>7</v>
      </c>
      <c r="E178" s="75" t="s">
        <v>8</v>
      </c>
      <c r="F178" s="76" t="s">
        <v>9</v>
      </c>
      <c r="G178" s="77" t="s">
        <v>10</v>
      </c>
      <c r="H178" s="77" t="s">
        <v>11</v>
      </c>
      <c r="I178" s="75" t="s">
        <v>12</v>
      </c>
      <c r="J178" s="78" t="s">
        <v>13</v>
      </c>
      <c r="K178" s="78" t="s">
        <v>14</v>
      </c>
      <c r="L178" s="78" t="s">
        <v>15</v>
      </c>
      <c r="M178" s="78" t="s">
        <v>16</v>
      </c>
    </row>
    <row r="179" spans="2:13" ht="30" customHeight="1" x14ac:dyDescent="0.25">
      <c r="B179" s="14" t="s">
        <v>459</v>
      </c>
      <c r="C179" s="15" t="s">
        <v>460</v>
      </c>
      <c r="D179" s="16" t="s">
        <v>461</v>
      </c>
      <c r="E179" s="16" t="s">
        <v>462</v>
      </c>
      <c r="F179" s="32" t="s">
        <v>21</v>
      </c>
      <c r="G179" s="23" t="s">
        <v>463</v>
      </c>
      <c r="H179" s="38" t="s">
        <v>582</v>
      </c>
      <c r="I179" s="35" t="str">
        <f>+MID(ListaPreciosProductos789151734[[#This Row],[Precio PVP]],1,5)</f>
        <v xml:space="preserve">1,45 </v>
      </c>
      <c r="J179" s="25" t="s">
        <v>24</v>
      </c>
      <c r="K179" s="26">
        <f t="shared" ref="K179:K182" si="17">+$H$7</f>
        <v>0.43</v>
      </c>
      <c r="L179" s="27">
        <f>+ROUND(ListaPreciosProductos789151734[[#This Row],[Columna1]]*(1-ListaPreciosProductos789151734[[#This Row],[Descuento2]]),2)</f>
        <v>0.83</v>
      </c>
      <c r="M179" s="25" t="str">
        <f>+ListaPreciosProductos789151734[[#This Row],[Precio Neto]]&amp;" "&amp;ListaPreciosProductos789151734[[#This Row],[Columna2]]</f>
        <v>0,83 €/m2</v>
      </c>
    </row>
    <row r="180" spans="2:13" ht="30" customHeight="1" x14ac:dyDescent="0.25">
      <c r="B180" s="14" t="s">
        <v>464</v>
      </c>
      <c r="C180" s="15" t="s">
        <v>465</v>
      </c>
      <c r="D180" s="16" t="s">
        <v>466</v>
      </c>
      <c r="E180" s="16" t="s">
        <v>467</v>
      </c>
      <c r="F180" s="32" t="s">
        <v>21</v>
      </c>
      <c r="G180" s="23" t="s">
        <v>468</v>
      </c>
      <c r="H180" s="38" t="s">
        <v>494</v>
      </c>
      <c r="I180" s="35" t="str">
        <f>+MID(ListaPreciosProductos789151734[[#This Row],[Precio PVP]],1,5)</f>
        <v xml:space="preserve">2,20 </v>
      </c>
      <c r="J180" s="25" t="s">
        <v>24</v>
      </c>
      <c r="K180" s="26">
        <f t="shared" si="17"/>
        <v>0.43</v>
      </c>
      <c r="L180" s="27">
        <f>+ROUND(ListaPreciosProductos789151734[[#This Row],[Columna1]]*(1-ListaPreciosProductos789151734[[#This Row],[Descuento2]]),2)</f>
        <v>1.25</v>
      </c>
      <c r="M180" s="25" t="str">
        <f>+ListaPreciosProductos789151734[[#This Row],[Precio Neto]]&amp;" "&amp;ListaPreciosProductos789151734[[#This Row],[Columna2]]</f>
        <v>1,25 €/m2</v>
      </c>
    </row>
    <row r="181" spans="2:13" ht="30" customHeight="1" x14ac:dyDescent="0.25">
      <c r="B181" s="30" t="s">
        <v>469</v>
      </c>
      <c r="C181" s="15" t="s">
        <v>470</v>
      </c>
      <c r="D181" s="16" t="s">
        <v>471</v>
      </c>
      <c r="E181" s="16" t="s">
        <v>41</v>
      </c>
      <c r="F181" s="32" t="s">
        <v>21</v>
      </c>
      <c r="G181" s="23" t="s">
        <v>472</v>
      </c>
      <c r="H181" s="24" t="s">
        <v>473</v>
      </c>
      <c r="I181" s="35" t="str">
        <f>+MID(ListaPreciosProductos789151734[[#This Row],[Precio PVP]],1,5)</f>
        <v xml:space="preserve">4,30 </v>
      </c>
      <c r="J181" s="25" t="s">
        <v>24</v>
      </c>
      <c r="K181" s="26">
        <f t="shared" si="17"/>
        <v>0.43</v>
      </c>
      <c r="L181" s="27">
        <f>+ROUND(ListaPreciosProductos789151734[[#This Row],[Columna1]]*(1-ListaPreciosProductos789151734[[#This Row],[Descuento2]]),2)</f>
        <v>2.4500000000000002</v>
      </c>
      <c r="M181" s="25" t="str">
        <f>+ListaPreciosProductos789151734[[#This Row],[Precio Neto]]&amp;" "&amp;ListaPreciosProductos789151734[[#This Row],[Columna2]]</f>
        <v>2,45 €/m2</v>
      </c>
    </row>
    <row r="182" spans="2:13" ht="30" customHeight="1" x14ac:dyDescent="0.25">
      <c r="B182" s="41" t="s">
        <v>474</v>
      </c>
      <c r="C182" s="42" t="s">
        <v>475</v>
      </c>
      <c r="D182" s="73" t="s">
        <v>476</v>
      </c>
      <c r="E182" s="73" t="s">
        <v>462</v>
      </c>
      <c r="F182" s="45" t="s">
        <v>21</v>
      </c>
      <c r="G182" s="81" t="s">
        <v>463</v>
      </c>
      <c r="H182" s="65" t="s">
        <v>481</v>
      </c>
      <c r="I182" s="35" t="str">
        <f>+MID(ListaPreciosProductos789151734[[#This Row],[Precio PVP]],1,5)</f>
        <v xml:space="preserve">2,00 </v>
      </c>
      <c r="J182" s="25" t="s">
        <v>24</v>
      </c>
      <c r="K182" s="26">
        <f t="shared" si="17"/>
        <v>0.43</v>
      </c>
      <c r="L182" s="27">
        <f>+ROUND(ListaPreciosProductos789151734[[#This Row],[Columna1]]*(1-ListaPreciosProductos789151734[[#This Row],[Descuento2]]),2)</f>
        <v>1.1399999999999999</v>
      </c>
      <c r="M182" s="25" t="str">
        <f>+ListaPreciosProductos789151734[[#This Row],[Precio Neto]]&amp;" "&amp;ListaPreciosProductos789151734[[#This Row],[Columna2]]</f>
        <v>1,14 €/m2</v>
      </c>
    </row>
    <row r="183" spans="2:13" ht="11.25" customHeight="1" x14ac:dyDescent="0.25"/>
    <row r="184" spans="2:13" ht="11.25" customHeight="1" x14ac:dyDescent="0.25"/>
    <row r="185" spans="2:13" ht="11.25" customHeight="1" x14ac:dyDescent="0.25"/>
    <row r="186" spans="2:13" ht="11.25" customHeight="1" x14ac:dyDescent="0.25"/>
    <row r="187" spans="2:13" ht="11.25" customHeight="1" x14ac:dyDescent="0.25"/>
    <row r="188" spans="2:13" ht="15.75" customHeight="1" x14ac:dyDescent="0.25">
      <c r="B188" s="138" t="s">
        <v>477</v>
      </c>
      <c r="C188" s="138"/>
      <c r="D188" s="138"/>
      <c r="E188" s="12"/>
      <c r="F188" s="12"/>
      <c r="G188" s="13"/>
    </row>
    <row r="189" spans="2:13" ht="6" customHeight="1" x14ac:dyDescent="0.25">
      <c r="B189" s="12"/>
      <c r="C189" s="12"/>
      <c r="D189" s="12"/>
      <c r="E189" s="12"/>
      <c r="F189" s="12"/>
      <c r="G189" s="13"/>
    </row>
    <row r="190" spans="2:13" ht="27.75" customHeight="1" x14ac:dyDescent="0.25">
      <c r="B190" s="75" t="s">
        <v>5</v>
      </c>
      <c r="C190" s="75" t="s">
        <v>6</v>
      </c>
      <c r="D190" s="75" t="s">
        <v>7</v>
      </c>
      <c r="E190" s="75" t="s">
        <v>8</v>
      </c>
      <c r="F190" s="76" t="s">
        <v>9</v>
      </c>
      <c r="G190" s="77" t="s">
        <v>10</v>
      </c>
      <c r="H190" s="77" t="s">
        <v>11</v>
      </c>
      <c r="I190" s="75" t="s">
        <v>12</v>
      </c>
      <c r="J190" s="78" t="s">
        <v>13</v>
      </c>
      <c r="K190" s="78" t="s">
        <v>14</v>
      </c>
      <c r="L190" s="78" t="s">
        <v>15</v>
      </c>
      <c r="M190" s="78" t="s">
        <v>16</v>
      </c>
    </row>
    <row r="191" spans="2:13" ht="30" customHeight="1" x14ac:dyDescent="0.25">
      <c r="B191" s="14" t="s">
        <v>478</v>
      </c>
      <c r="C191" s="15" t="s">
        <v>479</v>
      </c>
      <c r="D191" s="16" t="s">
        <v>480</v>
      </c>
      <c r="E191" s="16" t="s">
        <v>462</v>
      </c>
      <c r="F191" s="32" t="s">
        <v>21</v>
      </c>
      <c r="G191" s="23" t="s">
        <v>463</v>
      </c>
      <c r="H191" s="38" t="s">
        <v>583</v>
      </c>
      <c r="I191" s="35" t="str">
        <f>+MID(ListaPreciosProductos78915171935[[#This Row],[Precio PVP]],1,5)</f>
        <v xml:space="preserve">1,80 </v>
      </c>
      <c r="J191" s="25" t="s">
        <v>24</v>
      </c>
      <c r="K191" s="26">
        <f t="shared" ref="K191:K195" si="18">+$H$7</f>
        <v>0.43</v>
      </c>
      <c r="L191" s="27">
        <f>+ROUND(ListaPreciosProductos78915171935[[#This Row],[Columna1]]*(1-ListaPreciosProductos78915171935[[#This Row],[Descuento2]]),2)</f>
        <v>1.03</v>
      </c>
      <c r="M191" s="25" t="str">
        <f>+ListaPreciosProductos78915171935[[#This Row],[Precio Neto]]&amp;" "&amp;ListaPreciosProductos78915171935[[#This Row],[Columna2]]</f>
        <v>1,03 €/m2</v>
      </c>
    </row>
    <row r="192" spans="2:13" ht="30" customHeight="1" x14ac:dyDescent="0.25">
      <c r="B192" s="14" t="s">
        <v>482</v>
      </c>
      <c r="C192" s="15" t="s">
        <v>483</v>
      </c>
      <c r="D192" s="16" t="s">
        <v>484</v>
      </c>
      <c r="E192" s="16" t="s">
        <v>467</v>
      </c>
      <c r="F192" s="32" t="s">
        <v>21</v>
      </c>
      <c r="G192" s="23" t="s">
        <v>468</v>
      </c>
      <c r="H192" s="38" t="s">
        <v>584</v>
      </c>
      <c r="I192" s="35" t="str">
        <f>+MID(ListaPreciosProductos78915171935[[#This Row],[Precio PVP]],1,5)</f>
        <v xml:space="preserve">2,80 </v>
      </c>
      <c r="J192" s="25" t="s">
        <v>24</v>
      </c>
      <c r="K192" s="26">
        <f t="shared" si="18"/>
        <v>0.43</v>
      </c>
      <c r="L192" s="27">
        <f>+ROUND(ListaPreciosProductos78915171935[[#This Row],[Columna1]]*(1-ListaPreciosProductos78915171935[[#This Row],[Descuento2]]),2)</f>
        <v>1.6</v>
      </c>
      <c r="M192" s="25" t="str">
        <f>+ListaPreciosProductos78915171935[[#This Row],[Precio Neto]]&amp;" "&amp;ListaPreciosProductos78915171935[[#This Row],[Columna2]]</f>
        <v>1,6 €/m2</v>
      </c>
    </row>
    <row r="193" spans="2:13" ht="30" customHeight="1" x14ac:dyDescent="0.25">
      <c r="B193" s="30" t="s">
        <v>485</v>
      </c>
      <c r="C193" s="15" t="s">
        <v>486</v>
      </c>
      <c r="D193" s="16" t="s">
        <v>487</v>
      </c>
      <c r="E193" s="16" t="s">
        <v>462</v>
      </c>
      <c r="F193" s="32" t="s">
        <v>21</v>
      </c>
      <c r="G193" s="23" t="s">
        <v>463</v>
      </c>
      <c r="H193" s="24" t="s">
        <v>584</v>
      </c>
      <c r="I193" s="35" t="str">
        <f>+MID(ListaPreciosProductos78915171935[[#This Row],[Precio PVP]],1,5)</f>
        <v xml:space="preserve">2,80 </v>
      </c>
      <c r="J193" s="25" t="s">
        <v>24</v>
      </c>
      <c r="K193" s="26">
        <f t="shared" si="18"/>
        <v>0.43</v>
      </c>
      <c r="L193" s="27">
        <f>+ROUND(ListaPreciosProductos78915171935[[#This Row],[Columna1]]*(1-ListaPreciosProductos78915171935[[#This Row],[Descuento2]]),2)</f>
        <v>1.6</v>
      </c>
      <c r="M193" s="25" t="str">
        <f>+ListaPreciosProductos78915171935[[#This Row],[Precio Neto]]&amp;" "&amp;ListaPreciosProductos78915171935[[#This Row],[Columna2]]</f>
        <v>1,6 €/m2</v>
      </c>
    </row>
    <row r="194" spans="2:13" ht="30" customHeight="1" x14ac:dyDescent="0.25">
      <c r="B194" s="30" t="s">
        <v>488</v>
      </c>
      <c r="C194" s="15" t="s">
        <v>489</v>
      </c>
      <c r="D194" s="16" t="s">
        <v>490</v>
      </c>
      <c r="E194" s="16" t="s">
        <v>462</v>
      </c>
      <c r="F194" s="32" t="s">
        <v>21</v>
      </c>
      <c r="G194" s="23" t="s">
        <v>463</v>
      </c>
      <c r="H194" s="24" t="s">
        <v>585</v>
      </c>
      <c r="I194" s="35" t="str">
        <f>+MID(ListaPreciosProductos78915171935[[#This Row],[Precio PVP]],1,5)</f>
        <v xml:space="preserve">2,50 </v>
      </c>
      <c r="J194" s="25" t="s">
        <v>24</v>
      </c>
      <c r="K194" s="26">
        <f t="shared" si="18"/>
        <v>0.43</v>
      </c>
      <c r="L194" s="27">
        <f>+ROUND(ListaPreciosProductos78915171935[[#This Row],[Columna1]]*(1-ListaPreciosProductos78915171935[[#This Row],[Descuento2]]),2)</f>
        <v>1.43</v>
      </c>
      <c r="M194" s="25" t="str">
        <f>+ListaPreciosProductos78915171935[[#This Row],[Precio Neto]]&amp;" "&amp;ListaPreciosProductos78915171935[[#This Row],[Columna2]]</f>
        <v>1,43 €/m2</v>
      </c>
    </row>
    <row r="195" spans="2:13" ht="30" customHeight="1" x14ac:dyDescent="0.25">
      <c r="B195" s="30" t="s">
        <v>491</v>
      </c>
      <c r="C195" s="15" t="s">
        <v>492</v>
      </c>
      <c r="D195" s="16" t="s">
        <v>493</v>
      </c>
      <c r="E195" s="16" t="s">
        <v>462</v>
      </c>
      <c r="F195" s="32" t="s">
        <v>21</v>
      </c>
      <c r="G195" s="23" t="s">
        <v>463</v>
      </c>
      <c r="H195" s="24" t="s">
        <v>586</v>
      </c>
      <c r="I195" s="35" t="str">
        <f>+MID(ListaPreciosProductos78915171935[[#This Row],[Precio PVP]],1,5)</f>
        <v xml:space="preserve">2,10 </v>
      </c>
      <c r="J195" s="25" t="s">
        <v>24</v>
      </c>
      <c r="K195" s="26">
        <f t="shared" si="18"/>
        <v>0.43</v>
      </c>
      <c r="L195" s="27">
        <f>+ROUND(ListaPreciosProductos78915171935[[#This Row],[Columna1]]*(1-ListaPreciosProductos78915171935[[#This Row],[Descuento2]]),2)</f>
        <v>1.2</v>
      </c>
      <c r="M195" s="25" t="str">
        <f>+ListaPreciosProductos78915171935[[#This Row],[Precio Neto]]&amp;" "&amp;ListaPreciosProductos78915171935[[#This Row],[Columna2]]</f>
        <v>1,2 €/m2</v>
      </c>
    </row>
    <row r="196" spans="2:13" ht="11.25" customHeight="1" x14ac:dyDescent="0.25"/>
    <row r="197" spans="2:13" ht="22.5" customHeight="1" x14ac:dyDescent="0.25">
      <c r="B197" s="138" t="s">
        <v>495</v>
      </c>
      <c r="C197" s="138"/>
      <c r="D197" s="138"/>
      <c r="E197" s="12"/>
      <c r="F197" s="12"/>
      <c r="G197" s="13"/>
    </row>
    <row r="198" spans="2:13" ht="4.5" customHeight="1" x14ac:dyDescent="0.25">
      <c r="B198" s="12"/>
      <c r="C198" s="12"/>
      <c r="D198" s="12"/>
      <c r="E198" s="12"/>
      <c r="F198" s="12"/>
      <c r="G198" s="13"/>
    </row>
    <row r="199" spans="2:13" ht="27" customHeight="1" x14ac:dyDescent="0.25">
      <c r="B199" s="75" t="s">
        <v>5</v>
      </c>
      <c r="C199" s="75" t="s">
        <v>6</v>
      </c>
      <c r="D199" s="75" t="s">
        <v>7</v>
      </c>
      <c r="E199" s="75" t="s">
        <v>8</v>
      </c>
      <c r="F199" s="76" t="s">
        <v>9</v>
      </c>
      <c r="G199" s="77" t="s">
        <v>10</v>
      </c>
      <c r="H199" s="77" t="s">
        <v>11</v>
      </c>
      <c r="I199" s="75" t="s">
        <v>12</v>
      </c>
      <c r="J199" s="78" t="s">
        <v>13</v>
      </c>
      <c r="K199" s="78" t="s">
        <v>14</v>
      </c>
      <c r="L199" s="78" t="s">
        <v>15</v>
      </c>
      <c r="M199" s="78" t="s">
        <v>16</v>
      </c>
    </row>
    <row r="200" spans="2:13" ht="30" hidden="1" customHeight="1" x14ac:dyDescent="0.25">
      <c r="B200" s="14" t="s">
        <v>496</v>
      </c>
      <c r="C200" s="15" t="s">
        <v>497</v>
      </c>
      <c r="D200" s="16" t="s">
        <v>498</v>
      </c>
      <c r="E200" s="16" t="s">
        <v>499</v>
      </c>
      <c r="F200" s="32" t="s">
        <v>21</v>
      </c>
      <c r="G200" s="18" t="s">
        <v>500</v>
      </c>
      <c r="H200" s="82" t="s">
        <v>150</v>
      </c>
      <c r="I200" s="35" t="str">
        <f>+MID(ListaPreciosProductos7891517192137[[#This Row],[Precio PVP]],1,5)</f>
        <v xml:space="preserve">5,50 </v>
      </c>
      <c r="J200" s="25" t="s">
        <v>24</v>
      </c>
      <c r="K200" s="26">
        <f t="shared" ref="K200:K205" si="19">+$H$7</f>
        <v>0.43</v>
      </c>
      <c r="L200" s="27">
        <f>+ROUND(ListaPreciosProductos7891517192137[[#This Row],[Columna1]]*(1-ListaPreciosProductos7891517192137[[#This Row],[Descuento2]]),2)</f>
        <v>3.14</v>
      </c>
      <c r="M200" s="25" t="str">
        <f>+ListaPreciosProductos7891517192137[[#This Row],[Precio Neto]]&amp;" "&amp;ListaPreciosProductos7891517192137[[#This Row],[Columna2]]</f>
        <v>3,14 €/m2</v>
      </c>
    </row>
    <row r="201" spans="2:13" ht="30.95" customHeight="1" x14ac:dyDescent="0.25">
      <c r="B201" s="14" t="s">
        <v>501</v>
      </c>
      <c r="C201" s="15" t="s">
        <v>502</v>
      </c>
      <c r="D201" s="16" t="s">
        <v>503</v>
      </c>
      <c r="E201" s="16" t="s">
        <v>504</v>
      </c>
      <c r="F201" s="32" t="s">
        <v>21</v>
      </c>
      <c r="G201" s="18" t="s">
        <v>505</v>
      </c>
      <c r="H201" s="24" t="s">
        <v>409</v>
      </c>
      <c r="I201" s="35" t="str">
        <f>+MID(ListaPreciosProductos7891517192137[[#This Row],[Precio PVP]],1,5)</f>
        <v xml:space="preserve">0,90 </v>
      </c>
      <c r="J201" s="25" t="s">
        <v>24</v>
      </c>
      <c r="K201" s="26">
        <f t="shared" si="19"/>
        <v>0.43</v>
      </c>
      <c r="L201" s="27">
        <f>+ROUND(ListaPreciosProductos7891517192137[[#This Row],[Columna1]]*(1-ListaPreciosProductos7891517192137[[#This Row],[Descuento2]]),2)</f>
        <v>0.51</v>
      </c>
      <c r="M201" s="25" t="str">
        <f>+ListaPreciosProductos7891517192137[[#This Row],[Precio Neto]]&amp;" "&amp;ListaPreciosProductos7891517192137[[#This Row],[Columna2]]</f>
        <v>0,51 €/m2</v>
      </c>
    </row>
    <row r="202" spans="2:13" ht="30.95" customHeight="1" x14ac:dyDescent="0.25">
      <c r="B202" s="14" t="s">
        <v>506</v>
      </c>
      <c r="C202" s="15" t="s">
        <v>507</v>
      </c>
      <c r="D202" s="16" t="s">
        <v>508</v>
      </c>
      <c r="E202" s="16" t="s">
        <v>509</v>
      </c>
      <c r="F202" s="32" t="s">
        <v>21</v>
      </c>
      <c r="G202" s="18" t="s">
        <v>510</v>
      </c>
      <c r="H202" s="38" t="s">
        <v>581</v>
      </c>
      <c r="I202" s="35" t="str">
        <f>+MID(ListaPreciosProductos7891517192137[[#This Row],[Precio PVP]],1,5)</f>
        <v xml:space="preserve">0,95 </v>
      </c>
      <c r="J202" s="25" t="s">
        <v>24</v>
      </c>
      <c r="K202" s="26">
        <f t="shared" si="19"/>
        <v>0.43</v>
      </c>
      <c r="L202" s="25">
        <f>+ROUND(ListaPreciosProductos7891517192137[[#This Row],[Columna1]]*(1-ListaPreciosProductos7891517192137[[#This Row],[Descuento2]]),2)</f>
        <v>0.54</v>
      </c>
      <c r="M202" s="25" t="str">
        <f>+ListaPreciosProductos7891517192137[[#This Row],[Precio Neto]]&amp;" "&amp;ListaPreciosProductos7891517192137[[#This Row],[Columna2]]</f>
        <v>0,54 €/m2</v>
      </c>
    </row>
    <row r="203" spans="2:13" s="83" customFormat="1" ht="30.95" customHeight="1" x14ac:dyDescent="0.25">
      <c r="B203" s="52" t="s">
        <v>511</v>
      </c>
      <c r="C203" s="53" t="s">
        <v>512</v>
      </c>
      <c r="D203" s="54" t="s">
        <v>513</v>
      </c>
      <c r="E203" s="54" t="s">
        <v>514</v>
      </c>
      <c r="F203" s="32" t="s">
        <v>21</v>
      </c>
      <c r="G203" s="18" t="s">
        <v>515</v>
      </c>
      <c r="H203" s="24" t="s">
        <v>587</v>
      </c>
      <c r="I203" s="56" t="str">
        <f>+MID(ListaPreciosProductos7891517192137[[#This Row],[Precio PVP]],1,5)</f>
        <v xml:space="preserve">9,00 </v>
      </c>
      <c r="J203" s="25" t="s">
        <v>24</v>
      </c>
      <c r="K203" s="26">
        <f t="shared" si="19"/>
        <v>0.43</v>
      </c>
      <c r="L203" s="27">
        <f>+ROUND(ListaPreciosProductos7891517192137[[#This Row],[Columna1]]*(1-ListaPreciosProductos7891517192137[[#This Row],[Descuento2]]),2)</f>
        <v>5.13</v>
      </c>
      <c r="M203" s="25" t="str">
        <f>+ListaPreciosProductos7891517192137[[#This Row],[Precio Neto]]&amp;" "&amp;ListaPreciosProductos7891517192137[[#This Row],[Columna2]]</f>
        <v>5,13 €/m2</v>
      </c>
    </row>
    <row r="204" spans="2:13" ht="30.95" customHeight="1" x14ac:dyDescent="0.25">
      <c r="B204" s="30" t="s">
        <v>516</v>
      </c>
      <c r="C204" s="53" t="s">
        <v>517</v>
      </c>
      <c r="D204" s="16" t="s">
        <v>518</v>
      </c>
      <c r="E204" s="16" t="s">
        <v>519</v>
      </c>
      <c r="F204" s="32" t="s">
        <v>21</v>
      </c>
      <c r="G204" s="18" t="s">
        <v>520</v>
      </c>
      <c r="H204" s="24" t="s">
        <v>588</v>
      </c>
      <c r="I204" s="35" t="str">
        <f>+MID(ListaPreciosProductos7891517192137[[#This Row],[Precio PVP]],1,5)</f>
        <v xml:space="preserve">0,21 </v>
      </c>
      <c r="J204" s="25" t="s">
        <v>24</v>
      </c>
      <c r="K204" s="26">
        <f t="shared" si="19"/>
        <v>0.43</v>
      </c>
      <c r="L204" s="25">
        <f>+ROUND(ListaPreciosProductos7891517192137[[#This Row],[Columna1]]*(1-ListaPreciosProductos7891517192137[[#This Row],[Descuento2]]),2)</f>
        <v>0.12</v>
      </c>
      <c r="M204" s="25" t="str">
        <f>+ListaPreciosProductos7891517192137[[#This Row],[Precio Neto]]&amp;" "&amp;ListaPreciosProductos7891517192137[[#This Row],[Columna2]]</f>
        <v>0,12 €/m2</v>
      </c>
    </row>
    <row r="205" spans="2:13" ht="30" customHeight="1" x14ac:dyDescent="0.25">
      <c r="B205" s="84" t="s">
        <v>521</v>
      </c>
      <c r="C205" s="53" t="s">
        <v>522</v>
      </c>
      <c r="D205" s="54" t="s">
        <v>523</v>
      </c>
      <c r="E205" s="54" t="s">
        <v>519</v>
      </c>
      <c r="F205" s="32" t="s">
        <v>21</v>
      </c>
      <c r="G205" s="18" t="s">
        <v>520</v>
      </c>
      <c r="H205" s="24" t="s">
        <v>589</v>
      </c>
      <c r="I205" s="35" t="str">
        <f>+MID(ListaPreciosProductos7891517192137[[#This Row],[Precio PVP]],1,5)</f>
        <v xml:space="preserve">0,44 </v>
      </c>
      <c r="J205" s="25" t="s">
        <v>24</v>
      </c>
      <c r="K205" s="26">
        <f t="shared" si="19"/>
        <v>0.43</v>
      </c>
      <c r="L205" s="25">
        <f>+ROUND(ListaPreciosProductos7891517192137[[#This Row],[Columna1]]*(1-ListaPreciosProductos7891517192137[[#This Row],[Descuento2]]),2)</f>
        <v>0.25</v>
      </c>
      <c r="M205" s="25" t="str">
        <f>+ListaPreciosProductos7891517192137[[#This Row],[Precio Neto]]&amp;" "&amp;ListaPreciosProductos7891517192137[[#This Row],[Columna2]]</f>
        <v>0,25 €/m2</v>
      </c>
    </row>
    <row r="206" spans="2:13" ht="30" customHeight="1" x14ac:dyDescent="0.25">
      <c r="B206" s="52"/>
      <c r="C206" s="53"/>
      <c r="D206" s="54"/>
      <c r="E206" s="54"/>
      <c r="F206" s="32"/>
      <c r="G206" s="18"/>
      <c r="H206" s="94"/>
      <c r="I206" s="35"/>
      <c r="J206" s="25"/>
      <c r="K206" s="26"/>
      <c r="L206" s="25"/>
      <c r="M206" s="25"/>
    </row>
    <row r="207" spans="2:13" ht="30" customHeight="1" x14ac:dyDescent="0.25">
      <c r="B207" s="52"/>
      <c r="C207" s="53"/>
      <c r="D207" s="54"/>
      <c r="E207" s="54"/>
      <c r="F207" s="32"/>
      <c r="G207" s="18"/>
      <c r="H207" s="94"/>
      <c r="I207" s="35"/>
      <c r="J207" s="25"/>
      <c r="K207" s="26"/>
      <c r="L207" s="25"/>
      <c r="M207" s="25"/>
    </row>
    <row r="208" spans="2:13" ht="30" customHeight="1" x14ac:dyDescent="0.25">
      <c r="B208" s="52"/>
      <c r="C208" s="53"/>
      <c r="D208" s="54"/>
      <c r="E208" s="54"/>
      <c r="F208" s="32"/>
      <c r="G208" s="18"/>
      <c r="H208" s="94"/>
      <c r="I208" s="35"/>
      <c r="J208" s="25"/>
      <c r="K208" s="26"/>
      <c r="L208" s="25"/>
      <c r="M208" s="25"/>
    </row>
    <row r="209" spans="2:13" ht="30" customHeight="1" x14ac:dyDescent="0.25">
      <c r="B209" s="52"/>
      <c r="C209" s="53"/>
      <c r="D209" s="54"/>
      <c r="E209" s="54"/>
      <c r="F209" s="32"/>
      <c r="G209" s="18"/>
      <c r="H209" s="94"/>
      <c r="I209" s="35"/>
      <c r="J209" s="25"/>
      <c r="K209" s="26"/>
      <c r="L209" s="25"/>
      <c r="M209" s="25"/>
    </row>
    <row r="210" spans="2:13" ht="30" customHeight="1" x14ac:dyDescent="0.25">
      <c r="B210" s="52"/>
      <c r="C210" s="53"/>
      <c r="D210" s="54"/>
      <c r="E210" s="54"/>
      <c r="F210" s="32"/>
      <c r="G210" s="18"/>
      <c r="H210" s="94"/>
      <c r="I210" s="35"/>
      <c r="J210" s="25"/>
      <c r="K210" s="26"/>
      <c r="L210" s="25"/>
      <c r="M210" s="25"/>
    </row>
    <row r="211" spans="2:13" ht="30" customHeight="1" x14ac:dyDescent="0.25">
      <c r="B211" s="52"/>
      <c r="C211" s="53"/>
      <c r="D211" s="54"/>
      <c r="E211" s="54"/>
      <c r="F211" s="32"/>
      <c r="G211" s="18"/>
      <c r="H211" s="94"/>
      <c r="I211" s="35"/>
      <c r="J211" s="25"/>
      <c r="K211" s="26"/>
      <c r="L211" s="25"/>
      <c r="M211" s="25"/>
    </row>
    <row r="212" spans="2:13" ht="30" customHeight="1" x14ac:dyDescent="0.25">
      <c r="B212" s="52"/>
      <c r="C212" s="53"/>
      <c r="D212" s="54"/>
      <c r="E212" s="54"/>
      <c r="F212" s="32"/>
      <c r="G212" s="18"/>
      <c r="H212" s="94"/>
      <c r="I212" s="35"/>
      <c r="J212" s="25"/>
      <c r="K212" s="26"/>
      <c r="L212" s="25"/>
      <c r="M212" s="25"/>
    </row>
    <row r="213" spans="2:13" ht="30" customHeight="1" x14ac:dyDescent="0.25">
      <c r="B213" s="52"/>
      <c r="C213" s="53"/>
      <c r="D213" s="54"/>
      <c r="E213" s="54"/>
      <c r="F213" s="32"/>
      <c r="G213" s="18"/>
      <c r="H213" s="94"/>
      <c r="I213" s="35"/>
      <c r="J213" s="25"/>
      <c r="K213" s="26"/>
      <c r="L213" s="25"/>
      <c r="M213" s="25"/>
    </row>
    <row r="214" spans="2:13" ht="30" customHeight="1" x14ac:dyDescent="0.25">
      <c r="B214" s="52"/>
      <c r="C214" s="53"/>
      <c r="D214" s="54"/>
      <c r="E214" s="54"/>
      <c r="F214" s="32"/>
      <c r="G214" s="18"/>
      <c r="H214" s="94"/>
      <c r="I214" s="35"/>
      <c r="J214" s="25"/>
      <c r="K214" s="26"/>
      <c r="L214" s="25"/>
      <c r="M214" s="25"/>
    </row>
    <row r="215" spans="2:13" ht="30" customHeight="1" x14ac:dyDescent="0.25">
      <c r="B215" s="52"/>
      <c r="C215" s="53"/>
      <c r="D215" s="54"/>
      <c r="E215" s="54"/>
      <c r="F215" s="32"/>
      <c r="G215" s="18"/>
      <c r="H215" s="94"/>
      <c r="I215" s="35"/>
      <c r="J215" s="25"/>
      <c r="K215" s="26"/>
      <c r="L215" s="25"/>
      <c r="M215" s="25"/>
    </row>
    <row r="216" spans="2:13" ht="30" customHeight="1" x14ac:dyDescent="0.25">
      <c r="B216" s="138"/>
      <c r="C216" s="138"/>
      <c r="D216" s="138"/>
      <c r="E216" s="54"/>
      <c r="F216" s="32"/>
      <c r="G216" s="18"/>
      <c r="H216" s="94"/>
      <c r="I216" s="35"/>
      <c r="J216" s="25"/>
      <c r="K216" s="26"/>
      <c r="L216" s="25"/>
      <c r="M216" s="25"/>
    </row>
    <row r="217" spans="2:13" ht="3" customHeight="1" x14ac:dyDescent="0.25"/>
    <row r="218" spans="2:13" ht="9.9499999999999993" customHeight="1" x14ac:dyDescent="0.25">
      <c r="B218" s="12"/>
      <c r="C218" s="12"/>
      <c r="D218" s="12"/>
      <c r="E218" s="12"/>
      <c r="F218" s="12"/>
      <c r="G218" s="13"/>
    </row>
    <row r="219" spans="2:13" ht="9" customHeight="1" x14ac:dyDescent="0.25">
      <c r="B219" s="12"/>
      <c r="C219" s="12"/>
      <c r="D219" s="12"/>
      <c r="E219" s="12"/>
      <c r="F219" s="12"/>
      <c r="G219" s="13"/>
    </row>
    <row r="220" spans="2:13" ht="12" customHeight="1" x14ac:dyDescent="0.25">
      <c r="B220" s="12"/>
      <c r="C220" s="12"/>
      <c r="D220" s="12"/>
      <c r="E220" s="12"/>
      <c r="F220" s="12"/>
      <c r="G220" s="13"/>
    </row>
    <row r="221" spans="2:13" ht="6" customHeight="1" x14ac:dyDescent="0.25">
      <c r="B221" s="12"/>
      <c r="C221" s="12"/>
      <c r="D221" s="12"/>
      <c r="E221" s="12"/>
      <c r="F221" s="12"/>
      <c r="G221" s="13"/>
    </row>
    <row r="222" spans="2:13" ht="27" customHeight="1" x14ac:dyDescent="0.25">
      <c r="B222" s="95" t="s">
        <v>5</v>
      </c>
      <c r="C222" s="95" t="s">
        <v>6</v>
      </c>
      <c r="D222" s="95" t="s">
        <v>7</v>
      </c>
      <c r="E222" s="95" t="s">
        <v>8</v>
      </c>
      <c r="F222" s="96" t="s">
        <v>9</v>
      </c>
      <c r="G222" s="97" t="s">
        <v>10</v>
      </c>
      <c r="H222" s="97" t="s">
        <v>11</v>
      </c>
      <c r="I222" s="75" t="s">
        <v>12</v>
      </c>
      <c r="J222" s="78" t="s">
        <v>13</v>
      </c>
      <c r="K222" s="78" t="s">
        <v>14</v>
      </c>
      <c r="L222" s="78" t="s">
        <v>15</v>
      </c>
      <c r="M222" s="78" t="s">
        <v>16</v>
      </c>
    </row>
    <row r="223" spans="2:13" ht="21.95" customHeight="1" x14ac:dyDescent="0.25">
      <c r="B223" s="98" t="s">
        <v>590</v>
      </c>
      <c r="C223" s="99" t="s">
        <v>601</v>
      </c>
      <c r="D223" s="100" t="s">
        <v>618</v>
      </c>
      <c r="E223" s="100" t="s">
        <v>610</v>
      </c>
      <c r="F223" s="100" t="s">
        <v>21</v>
      </c>
      <c r="G223" s="133" t="s">
        <v>672</v>
      </c>
      <c r="H223" s="101" t="s">
        <v>614</v>
      </c>
      <c r="I223" s="35"/>
      <c r="J223" s="25"/>
      <c r="K223" s="26"/>
      <c r="L223" s="25"/>
      <c r="M223" s="25"/>
    </row>
    <row r="224" spans="2:13" ht="21.95" customHeight="1" x14ac:dyDescent="0.25">
      <c r="B224" s="102" t="s">
        <v>591</v>
      </c>
      <c r="C224" s="103" t="s">
        <v>602</v>
      </c>
      <c r="D224" s="104" t="s">
        <v>619</v>
      </c>
      <c r="E224" s="104" t="s">
        <v>612</v>
      </c>
      <c r="F224" s="104" t="s">
        <v>21</v>
      </c>
      <c r="G224" s="125" t="s">
        <v>673</v>
      </c>
      <c r="H224" s="106" t="s">
        <v>615</v>
      </c>
      <c r="I224" s="35"/>
      <c r="J224" s="25"/>
      <c r="K224" s="26"/>
      <c r="L224" s="25"/>
      <c r="M224" s="25"/>
    </row>
    <row r="225" spans="2:13" ht="21.95" customHeight="1" x14ac:dyDescent="0.25">
      <c r="B225" s="98" t="s">
        <v>592</v>
      </c>
      <c r="C225" s="99" t="s">
        <v>603</v>
      </c>
      <c r="D225" s="100" t="s">
        <v>620</v>
      </c>
      <c r="E225" s="100" t="s">
        <v>611</v>
      </c>
      <c r="F225" s="100" t="s">
        <v>21</v>
      </c>
      <c r="G225" s="133" t="s">
        <v>674</v>
      </c>
      <c r="H225" s="101" t="s">
        <v>616</v>
      </c>
      <c r="I225" s="35"/>
      <c r="J225" s="25"/>
      <c r="K225" s="26"/>
      <c r="L225" s="25"/>
      <c r="M225" s="25"/>
    </row>
    <row r="226" spans="2:13" ht="21.95" customHeight="1" x14ac:dyDescent="0.25">
      <c r="B226" s="102" t="s">
        <v>593</v>
      </c>
      <c r="C226" s="103" t="s">
        <v>604</v>
      </c>
      <c r="D226" s="104" t="s">
        <v>621</v>
      </c>
      <c r="E226" s="104" t="s">
        <v>613</v>
      </c>
      <c r="F226" s="104" t="s">
        <v>21</v>
      </c>
      <c r="G226" s="125" t="s">
        <v>675</v>
      </c>
      <c r="H226" s="106" t="s">
        <v>617</v>
      </c>
      <c r="I226" s="35"/>
      <c r="J226" s="25"/>
      <c r="K226" s="26"/>
      <c r="L226" s="25"/>
      <c r="M226" s="25"/>
    </row>
    <row r="227" spans="2:13" ht="21.95" customHeight="1" x14ac:dyDescent="0.25">
      <c r="B227" s="98" t="s">
        <v>516</v>
      </c>
      <c r="C227" s="99" t="s">
        <v>517</v>
      </c>
      <c r="D227" s="100" t="s">
        <v>518</v>
      </c>
      <c r="E227" s="132" t="s">
        <v>671</v>
      </c>
      <c r="F227" s="100" t="s">
        <v>21</v>
      </c>
      <c r="G227" s="133" t="s">
        <v>676</v>
      </c>
      <c r="H227" s="101" t="s">
        <v>588</v>
      </c>
      <c r="I227" s="35"/>
      <c r="J227" s="25"/>
      <c r="K227" s="26"/>
      <c r="L227" s="25"/>
      <c r="M227" s="25"/>
    </row>
    <row r="228" spans="2:13" ht="26.25" customHeight="1" x14ac:dyDescent="0.25">
      <c r="B228" s="102" t="s">
        <v>521</v>
      </c>
      <c r="C228" s="103" t="s">
        <v>522</v>
      </c>
      <c r="D228" s="104" t="s">
        <v>523</v>
      </c>
      <c r="E228" s="122" t="s">
        <v>671</v>
      </c>
      <c r="F228" s="104" t="s">
        <v>21</v>
      </c>
      <c r="G228" s="125" t="s">
        <v>677</v>
      </c>
      <c r="H228" s="106" t="s">
        <v>589</v>
      </c>
      <c r="I228" s="35"/>
      <c r="J228" s="25"/>
      <c r="K228" s="26"/>
      <c r="L228" s="25"/>
      <c r="M228" s="25"/>
    </row>
    <row r="229" spans="2:13" ht="26.25" customHeight="1" x14ac:dyDescent="0.25">
      <c r="B229" s="98" t="s">
        <v>594</v>
      </c>
      <c r="C229" s="99" t="s">
        <v>605</v>
      </c>
      <c r="D229" s="100" t="s">
        <v>622</v>
      </c>
      <c r="E229" s="100" t="s">
        <v>623</v>
      </c>
      <c r="F229" s="100" t="s">
        <v>624</v>
      </c>
      <c r="G229" s="107" t="s">
        <v>623</v>
      </c>
      <c r="H229" s="101" t="s">
        <v>625</v>
      </c>
      <c r="I229" s="35"/>
      <c r="J229" s="25"/>
      <c r="K229" s="26"/>
      <c r="L229" s="25"/>
      <c r="M229" s="25"/>
    </row>
    <row r="230" spans="2:13" ht="26.25" customHeight="1" x14ac:dyDescent="0.25">
      <c r="B230" s="102" t="s">
        <v>595</v>
      </c>
      <c r="C230" s="103" t="s">
        <v>606</v>
      </c>
      <c r="D230" s="104" t="s">
        <v>627</v>
      </c>
      <c r="E230" s="104" t="s">
        <v>623</v>
      </c>
      <c r="F230" s="104" t="s">
        <v>624</v>
      </c>
      <c r="G230" s="108" t="s">
        <v>623</v>
      </c>
      <c r="H230" s="106" t="s">
        <v>626</v>
      </c>
      <c r="I230" s="35"/>
      <c r="J230" s="25"/>
      <c r="K230" s="26"/>
      <c r="L230" s="25"/>
      <c r="M230" s="25"/>
    </row>
    <row r="231" spans="2:13" ht="26.25" customHeight="1" x14ac:dyDescent="0.25">
      <c r="B231" s="98" t="s">
        <v>596</v>
      </c>
      <c r="C231" s="99" t="s">
        <v>607</v>
      </c>
      <c r="D231" s="100" t="s">
        <v>628</v>
      </c>
      <c r="E231" s="100" t="s">
        <v>629</v>
      </c>
      <c r="F231" s="100" t="s">
        <v>630</v>
      </c>
      <c r="G231" s="107" t="s">
        <v>629</v>
      </c>
      <c r="H231" s="101" t="s">
        <v>631</v>
      </c>
      <c r="I231" s="35"/>
      <c r="J231" s="25"/>
      <c r="K231" s="26"/>
      <c r="L231" s="25"/>
      <c r="M231" s="25"/>
    </row>
    <row r="232" spans="2:13" ht="26.25" customHeight="1" x14ac:dyDescent="0.25">
      <c r="B232" s="102" t="s">
        <v>597</v>
      </c>
      <c r="C232" s="103" t="s">
        <v>608</v>
      </c>
      <c r="D232" s="104" t="s">
        <v>632</v>
      </c>
      <c r="E232" s="104" t="s">
        <v>634</v>
      </c>
      <c r="F232" s="104" t="s">
        <v>21</v>
      </c>
      <c r="G232" s="108" t="s">
        <v>637</v>
      </c>
      <c r="H232" s="106" t="s">
        <v>636</v>
      </c>
      <c r="I232" s="35"/>
      <c r="J232" s="25"/>
      <c r="K232" s="26"/>
      <c r="L232" s="25"/>
      <c r="M232" s="25"/>
    </row>
    <row r="233" spans="2:13" ht="26.25" customHeight="1" x14ac:dyDescent="0.25">
      <c r="B233" s="98" t="s">
        <v>598</v>
      </c>
      <c r="C233" s="99" t="s">
        <v>609</v>
      </c>
      <c r="D233" s="100" t="s">
        <v>633</v>
      </c>
      <c r="E233" s="100" t="s">
        <v>634</v>
      </c>
      <c r="F233" s="100" t="s">
        <v>21</v>
      </c>
      <c r="G233" s="107" t="s">
        <v>638</v>
      </c>
      <c r="H233" s="101" t="s">
        <v>635</v>
      </c>
      <c r="I233" s="35"/>
      <c r="J233" s="25"/>
      <c r="K233" s="26"/>
      <c r="L233" s="25"/>
      <c r="M233" s="25"/>
    </row>
    <row r="234" spans="2:13" ht="26.25" customHeight="1" x14ac:dyDescent="0.25">
      <c r="B234" s="102" t="s">
        <v>599</v>
      </c>
      <c r="C234" s="103" t="s">
        <v>645</v>
      </c>
      <c r="D234" s="104" t="s">
        <v>639</v>
      </c>
      <c r="E234" s="104" t="s">
        <v>641</v>
      </c>
      <c r="F234" s="105" t="s">
        <v>553</v>
      </c>
      <c r="G234" s="104" t="s">
        <v>641</v>
      </c>
      <c r="H234" s="106" t="s">
        <v>643</v>
      </c>
      <c r="I234" s="35"/>
      <c r="J234" s="25"/>
      <c r="K234" s="26"/>
      <c r="L234" s="25"/>
      <c r="M234" s="25"/>
    </row>
    <row r="235" spans="2:13" ht="26.25" customHeight="1" x14ac:dyDescent="0.25">
      <c r="B235" s="110" t="s">
        <v>600</v>
      </c>
      <c r="C235" s="99" t="s">
        <v>646</v>
      </c>
      <c r="D235" s="100" t="s">
        <v>640</v>
      </c>
      <c r="E235" s="100" t="s">
        <v>642</v>
      </c>
      <c r="F235" s="111" t="s">
        <v>318</v>
      </c>
      <c r="G235" s="100" t="s">
        <v>642</v>
      </c>
      <c r="H235" s="101" t="s">
        <v>644</v>
      </c>
      <c r="I235" s="35"/>
      <c r="J235" s="25"/>
      <c r="K235" s="26"/>
      <c r="L235" s="25"/>
      <c r="M235" s="25"/>
    </row>
    <row r="236" spans="2:13" ht="26.25" customHeight="1" x14ac:dyDescent="0.25">
      <c r="B236" s="102" t="s">
        <v>648</v>
      </c>
      <c r="C236" s="103" t="s">
        <v>647</v>
      </c>
      <c r="D236" s="122" t="s">
        <v>653</v>
      </c>
      <c r="E236" s="122" t="s">
        <v>390</v>
      </c>
      <c r="F236" s="105" t="s">
        <v>21</v>
      </c>
      <c r="G236" s="134" t="s">
        <v>678</v>
      </c>
      <c r="H236" s="106" t="s">
        <v>582</v>
      </c>
      <c r="I236" s="35"/>
      <c r="J236" s="25"/>
      <c r="K236" s="26"/>
      <c r="L236" s="25"/>
      <c r="M236" s="25"/>
    </row>
    <row r="237" spans="2:13" ht="26.25" customHeight="1" x14ac:dyDescent="0.25">
      <c r="B237" s="112" t="s">
        <v>650</v>
      </c>
      <c r="C237" s="113" t="s">
        <v>649</v>
      </c>
      <c r="D237" s="123" t="s">
        <v>654</v>
      </c>
      <c r="E237" s="114" t="s">
        <v>390</v>
      </c>
      <c r="F237" s="115" t="s">
        <v>21</v>
      </c>
      <c r="G237" s="126" t="s">
        <v>678</v>
      </c>
      <c r="H237" s="116" t="s">
        <v>651</v>
      </c>
      <c r="I237" s="35"/>
      <c r="J237" s="25"/>
      <c r="K237" s="26"/>
      <c r="L237" s="25"/>
      <c r="M237" s="25"/>
    </row>
    <row r="238" spans="2:13" ht="26.25" customHeight="1" x14ac:dyDescent="0.25">
      <c r="B238" s="117" t="s">
        <v>669</v>
      </c>
      <c r="C238" s="118" t="s">
        <v>652</v>
      </c>
      <c r="D238" s="124" t="s">
        <v>655</v>
      </c>
      <c r="E238" s="119" t="s">
        <v>390</v>
      </c>
      <c r="F238" s="120" t="s">
        <v>21</v>
      </c>
      <c r="G238" s="127" t="s">
        <v>678</v>
      </c>
      <c r="H238" s="121" t="s">
        <v>494</v>
      </c>
      <c r="I238" s="35"/>
      <c r="J238" s="25"/>
      <c r="K238" s="26"/>
      <c r="L238" s="25"/>
      <c r="M238" s="25"/>
    </row>
    <row r="239" spans="2:13" ht="10.5" customHeight="1" x14ac:dyDescent="0.25">
      <c r="B239" s="30"/>
      <c r="C239" s="15"/>
      <c r="D239" s="16"/>
      <c r="E239" s="16"/>
      <c r="F239" s="32"/>
      <c r="G239" s="18"/>
      <c r="H239" s="19"/>
      <c r="I239" s="19"/>
    </row>
    <row r="240" spans="2:13" ht="9.9499999999999993" customHeight="1" x14ac:dyDescent="0.25">
      <c r="B240" s="12"/>
      <c r="C240" s="12"/>
      <c r="D240" s="12"/>
      <c r="E240" s="12"/>
      <c r="F240" s="12"/>
      <c r="G240" s="13"/>
    </row>
    <row r="241" spans="2:13" ht="9.75" customHeight="1" x14ac:dyDescent="0.25">
      <c r="B241" s="12"/>
      <c r="C241" s="12"/>
      <c r="D241" s="12"/>
      <c r="E241" s="12"/>
      <c r="F241" s="12"/>
      <c r="G241" s="13"/>
    </row>
    <row r="242" spans="2:13" ht="8.4499999999999993" customHeight="1" x14ac:dyDescent="0.25">
      <c r="B242" s="12"/>
      <c r="C242" s="12"/>
      <c r="D242" s="12"/>
      <c r="E242" s="12"/>
      <c r="F242" s="12"/>
      <c r="G242" s="13"/>
    </row>
    <row r="243" spans="2:13" ht="17.45" customHeight="1" x14ac:dyDescent="0.25">
      <c r="B243" s="138" t="s">
        <v>524</v>
      </c>
      <c r="C243" s="138"/>
      <c r="D243" s="138"/>
      <c r="E243" s="12"/>
      <c r="F243" s="12"/>
      <c r="G243" s="13"/>
    </row>
    <row r="244" spans="2:13" ht="27" customHeight="1" x14ac:dyDescent="0.25">
      <c r="B244" s="85" t="s">
        <v>5</v>
      </c>
      <c r="C244" s="85" t="s">
        <v>6</v>
      </c>
      <c r="D244" s="85" t="s">
        <v>7</v>
      </c>
      <c r="E244" s="85" t="s">
        <v>8</v>
      </c>
      <c r="F244" s="86" t="s">
        <v>9</v>
      </c>
      <c r="G244" s="87" t="s">
        <v>10</v>
      </c>
      <c r="H244" s="87" t="s">
        <v>11</v>
      </c>
      <c r="I244" s="88" t="s">
        <v>12</v>
      </c>
      <c r="J244" s="88" t="s">
        <v>13</v>
      </c>
      <c r="K244" s="88" t="s">
        <v>14</v>
      </c>
      <c r="L244" s="88" t="s">
        <v>15</v>
      </c>
      <c r="M244" s="88" t="s">
        <v>16</v>
      </c>
    </row>
    <row r="245" spans="2:13" ht="21.95" customHeight="1" x14ac:dyDescent="0.25">
      <c r="B245" s="14" t="s">
        <v>525</v>
      </c>
      <c r="C245" s="15" t="s">
        <v>526</v>
      </c>
      <c r="D245" s="16" t="s">
        <v>527</v>
      </c>
      <c r="E245" s="16" t="s">
        <v>528</v>
      </c>
      <c r="F245" s="32" t="s">
        <v>318</v>
      </c>
      <c r="G245" s="18" t="s">
        <v>529</v>
      </c>
      <c r="H245" s="38" t="s">
        <v>530</v>
      </c>
      <c r="I245" s="35" t="str">
        <f>+MID(ListaPreciosProductos789151719212238[[#This Row],[Precio PVP]],1,5)</f>
        <v>17,40</v>
      </c>
      <c r="J245" s="25" t="s">
        <v>321</v>
      </c>
      <c r="K245" s="26">
        <f t="shared" ref="K245:K255" si="20">+$H$7</f>
        <v>0.43</v>
      </c>
      <c r="L245" s="27">
        <f>+ROUND(ListaPreciosProductos789151719212238[[#This Row],[Columna1]]*(1-ListaPreciosProductos789151719212238[[#This Row],[Descuento2]]),2)</f>
        <v>9.92</v>
      </c>
      <c r="M245" s="25" t="str">
        <f>+ListaPreciosProductos789151719212238[[#This Row],[Precio Neto]]&amp;" "&amp;ListaPreciosProductos789151719212238[[#This Row],[Columna2]]</f>
        <v>9,92 €/ud</v>
      </c>
    </row>
    <row r="246" spans="2:13" ht="21.95" customHeight="1" x14ac:dyDescent="0.25">
      <c r="B246" s="30" t="s">
        <v>531</v>
      </c>
      <c r="C246" s="15" t="s">
        <v>532</v>
      </c>
      <c r="D246" s="16" t="s">
        <v>533</v>
      </c>
      <c r="E246" s="16" t="s">
        <v>534</v>
      </c>
      <c r="F246" s="32" t="s">
        <v>318</v>
      </c>
      <c r="G246" s="18" t="s">
        <v>529</v>
      </c>
      <c r="H246" s="38" t="s">
        <v>535</v>
      </c>
      <c r="I246" s="35" t="str">
        <f>+MID(ListaPreciosProductos789151719212238[[#This Row],[Precio PVP]],1,5)</f>
        <v>24,70</v>
      </c>
      <c r="J246" s="25" t="s">
        <v>321</v>
      </c>
      <c r="K246" s="26">
        <f t="shared" si="20"/>
        <v>0.43</v>
      </c>
      <c r="L246" s="25">
        <f>+ROUND(ListaPreciosProductos789151719212238[[#This Row],[Columna1]]*(1-ListaPreciosProductos789151719212238[[#This Row],[Descuento2]]),2)</f>
        <v>14.08</v>
      </c>
      <c r="M246" s="25" t="str">
        <f>+ListaPreciosProductos789151719212238[[#This Row],[Precio Neto]]&amp;" "&amp;ListaPreciosProductos789151719212238[[#This Row],[Columna2]]</f>
        <v>14,08 €/ud</v>
      </c>
    </row>
    <row r="247" spans="2:13" ht="21.95" customHeight="1" x14ac:dyDescent="0.25">
      <c r="B247" s="30" t="s">
        <v>536</v>
      </c>
      <c r="C247" s="15" t="s">
        <v>537</v>
      </c>
      <c r="D247" s="16" t="s">
        <v>538</v>
      </c>
      <c r="E247" s="16" t="s">
        <v>539</v>
      </c>
      <c r="F247" s="32" t="s">
        <v>318</v>
      </c>
      <c r="G247" s="18" t="s">
        <v>529</v>
      </c>
      <c r="H247" s="24" t="s">
        <v>530</v>
      </c>
      <c r="I247" s="35" t="str">
        <f>+MID(ListaPreciosProductos789151719212238[[#This Row],[Precio PVP]],1,5)</f>
        <v>17,40</v>
      </c>
      <c r="J247" s="25" t="s">
        <v>321</v>
      </c>
      <c r="K247" s="26">
        <f t="shared" si="20"/>
        <v>0.43</v>
      </c>
      <c r="L247" s="25">
        <f>+ROUND(ListaPreciosProductos789151719212238[[#This Row],[Columna1]]*(1-ListaPreciosProductos789151719212238[[#This Row],[Descuento2]]),2)</f>
        <v>9.92</v>
      </c>
      <c r="M247" s="25" t="str">
        <f>+ListaPreciosProductos789151719212238[[#This Row],[Precio Neto]]&amp;" "&amp;ListaPreciosProductos789151719212238[[#This Row],[Columna2]]</f>
        <v>9,92 €/ud</v>
      </c>
    </row>
    <row r="248" spans="2:13" ht="21.95" customHeight="1" x14ac:dyDescent="0.25">
      <c r="B248" s="30" t="s">
        <v>540</v>
      </c>
      <c r="C248" s="15" t="s">
        <v>541</v>
      </c>
      <c r="D248" s="16" t="s">
        <v>542</v>
      </c>
      <c r="E248" s="16"/>
      <c r="F248" s="32" t="s">
        <v>318</v>
      </c>
      <c r="G248" s="18" t="s">
        <v>543</v>
      </c>
      <c r="H248" s="89" t="s">
        <v>544</v>
      </c>
      <c r="I248" s="35" t="str">
        <f>+MID(ListaPreciosProductos789151719212238[[#This Row],[Precio PVP]],1,5)</f>
        <v>275,0</v>
      </c>
      <c r="J248" s="25" t="s">
        <v>545</v>
      </c>
      <c r="K248" s="26">
        <f t="shared" si="20"/>
        <v>0.43</v>
      </c>
      <c r="L248" s="25">
        <f>+ROUND(ListaPreciosProductos789151719212238[[#This Row],[Columna1]]*(1-ListaPreciosProductos789151719212238[[#This Row],[Descuento2]]),2)</f>
        <v>156.75</v>
      </c>
      <c r="M248" s="25" t="str">
        <f>+ListaPreciosProductos789151719212238[[#This Row],[Precio Neto]]&amp;" "&amp;ListaPreciosProductos789151719212238[[#This Row],[Columna2]]</f>
        <v>156,75 €/bote</v>
      </c>
    </row>
    <row r="249" spans="2:13" ht="21.95" customHeight="1" x14ac:dyDescent="0.25">
      <c r="B249" s="30" t="s">
        <v>546</v>
      </c>
      <c r="C249" s="15" t="s">
        <v>547</v>
      </c>
      <c r="D249" s="16" t="s">
        <v>542</v>
      </c>
      <c r="E249" s="16"/>
      <c r="F249" s="32" t="s">
        <v>318</v>
      </c>
      <c r="G249" s="18" t="s">
        <v>548</v>
      </c>
      <c r="H249" s="24" t="s">
        <v>549</v>
      </c>
      <c r="I249" s="35" t="str">
        <f>+MID(ListaPreciosProductos789151719212238[[#This Row],[Precio PVP]],1,5)</f>
        <v>76,00</v>
      </c>
      <c r="J249" s="25" t="s">
        <v>545</v>
      </c>
      <c r="K249" s="26">
        <f t="shared" si="20"/>
        <v>0.43</v>
      </c>
      <c r="L249" s="25">
        <f>+ROUND(ListaPreciosProductos789151719212238[[#This Row],[Columna1]]*(1-ListaPreciosProductos789151719212238[[#This Row],[Descuento2]]),2)</f>
        <v>43.32</v>
      </c>
      <c r="M249" s="25" t="str">
        <f>+ListaPreciosProductos789151719212238[[#This Row],[Precio Neto]]&amp;" "&amp;ListaPreciosProductos789151719212238[[#This Row],[Columna2]]</f>
        <v>43,32 €/bote</v>
      </c>
    </row>
    <row r="250" spans="2:13" ht="21.95" customHeight="1" x14ac:dyDescent="0.25">
      <c r="B250" s="30" t="s">
        <v>550</v>
      </c>
      <c r="C250" s="15" t="s">
        <v>551</v>
      </c>
      <c r="D250" s="16" t="s">
        <v>552</v>
      </c>
      <c r="E250" s="16"/>
      <c r="F250" s="32" t="s">
        <v>553</v>
      </c>
      <c r="G250" s="18" t="s">
        <v>554</v>
      </c>
      <c r="H250" s="24" t="s">
        <v>555</v>
      </c>
      <c r="I250" s="35" t="str">
        <f>+MID(ListaPreciosProductos789151719212238[[#This Row],[Precio PVP]],1,5)</f>
        <v>50,00</v>
      </c>
      <c r="J250" s="25" t="s">
        <v>556</v>
      </c>
      <c r="K250" s="26">
        <f t="shared" si="20"/>
        <v>0.43</v>
      </c>
      <c r="L250" s="25">
        <f>+ROUND(ListaPreciosProductos789151719212238[[#This Row],[Columna1]]*(1-ListaPreciosProductos789151719212238[[#This Row],[Descuento2]]),2)</f>
        <v>28.5</v>
      </c>
      <c r="M250" s="25" t="str">
        <f>+ListaPreciosProductos789151719212238[[#This Row],[Precio Neto]]&amp;" "&amp;ListaPreciosProductos789151719212238[[#This Row],[Columna2]]</f>
        <v>28,5 €/caja</v>
      </c>
    </row>
    <row r="251" spans="2:13" ht="21.95" customHeight="1" x14ac:dyDescent="0.25">
      <c r="B251" s="30" t="s">
        <v>557</v>
      </c>
      <c r="C251" s="15" t="s">
        <v>558</v>
      </c>
      <c r="D251" s="16" t="s">
        <v>559</v>
      </c>
      <c r="E251" s="16"/>
      <c r="F251" s="32" t="s">
        <v>553</v>
      </c>
      <c r="G251" s="18" t="s">
        <v>554</v>
      </c>
      <c r="H251" s="24" t="s">
        <v>560</v>
      </c>
      <c r="I251" s="35" t="str">
        <f>+MID(ListaPreciosProductos789151719212238[[#This Row],[Precio PVP]],1,5)</f>
        <v>53,00</v>
      </c>
      <c r="J251" s="25" t="s">
        <v>556</v>
      </c>
      <c r="K251" s="26">
        <f t="shared" si="20"/>
        <v>0.43</v>
      </c>
      <c r="L251" s="25">
        <f>+ROUND(ListaPreciosProductos789151719212238[[#This Row],[Columna1]]*(1-ListaPreciosProductos789151719212238[[#This Row],[Descuento2]]),2)</f>
        <v>30.21</v>
      </c>
      <c r="M251" s="25" t="str">
        <f>+ListaPreciosProductos789151719212238[[#This Row],[Precio Neto]]&amp;" "&amp;ListaPreciosProductos789151719212238[[#This Row],[Columna2]]</f>
        <v>30,21 €/caja</v>
      </c>
    </row>
    <row r="252" spans="2:13" ht="21.95" customHeight="1" x14ac:dyDescent="0.25">
      <c r="B252" s="30" t="s">
        <v>561</v>
      </c>
      <c r="C252" s="15" t="s">
        <v>562</v>
      </c>
      <c r="D252" s="16" t="s">
        <v>563</v>
      </c>
      <c r="E252" s="16"/>
      <c r="F252" s="32" t="s">
        <v>553</v>
      </c>
      <c r="G252" s="18" t="s">
        <v>554</v>
      </c>
      <c r="H252" s="24" t="s">
        <v>564</v>
      </c>
      <c r="I252" s="35" t="str">
        <f>+MID(ListaPreciosProductos789151719212238[[#This Row],[Precio PVP]],1,5)</f>
        <v>59,50</v>
      </c>
      <c r="J252" s="25" t="s">
        <v>556</v>
      </c>
      <c r="K252" s="26">
        <f t="shared" si="20"/>
        <v>0.43</v>
      </c>
      <c r="L252" s="25">
        <f>+ROUND(ListaPreciosProductos789151719212238[[#This Row],[Columna1]]*(1-ListaPreciosProductos789151719212238[[#This Row],[Descuento2]]),2)</f>
        <v>33.92</v>
      </c>
      <c r="M252" s="25" t="str">
        <f>+ListaPreciosProductos789151719212238[[#This Row],[Precio Neto]]&amp;" "&amp;ListaPreciosProductos789151719212238[[#This Row],[Columna2]]</f>
        <v>33,92 €/caja</v>
      </c>
    </row>
    <row r="253" spans="2:13" ht="21.95" customHeight="1" x14ac:dyDescent="0.25">
      <c r="B253" s="30" t="s">
        <v>565</v>
      </c>
      <c r="C253" s="15" t="s">
        <v>566</v>
      </c>
      <c r="D253" s="16" t="s">
        <v>567</v>
      </c>
      <c r="E253" s="16"/>
      <c r="F253" s="32" t="s">
        <v>553</v>
      </c>
      <c r="G253" s="18" t="s">
        <v>554</v>
      </c>
      <c r="H253" s="24" t="s">
        <v>568</v>
      </c>
      <c r="I253" s="35" t="str">
        <f>+MID(ListaPreciosProductos789151719212238[[#This Row],[Precio PVP]],1,5)</f>
        <v>65,85</v>
      </c>
      <c r="J253" s="25" t="s">
        <v>556</v>
      </c>
      <c r="K253" s="26">
        <f t="shared" si="20"/>
        <v>0.43</v>
      </c>
      <c r="L253" s="25">
        <f>+ROUND(ListaPreciosProductos789151719212238[[#This Row],[Columna1]]*(1-ListaPreciosProductos789151719212238[[#This Row],[Descuento2]]),2)</f>
        <v>37.53</v>
      </c>
      <c r="M253" s="25" t="str">
        <f>+ListaPreciosProductos789151719212238[[#This Row],[Precio Neto]]&amp;" "&amp;ListaPreciosProductos789151719212238[[#This Row],[Columna2]]</f>
        <v>37,53 €/caja</v>
      </c>
    </row>
    <row r="254" spans="2:13" ht="21.95" customHeight="1" x14ac:dyDescent="0.25">
      <c r="B254" s="30" t="s">
        <v>569</v>
      </c>
      <c r="C254" s="15" t="s">
        <v>570</v>
      </c>
      <c r="D254" s="16" t="s">
        <v>571</v>
      </c>
      <c r="E254" s="16" t="s">
        <v>572</v>
      </c>
      <c r="F254" s="32" t="s">
        <v>318</v>
      </c>
      <c r="G254" s="18" t="s">
        <v>529</v>
      </c>
      <c r="H254" s="24" t="s">
        <v>530</v>
      </c>
      <c r="I254" s="35" t="str">
        <f>+MID(ListaPreciosProductos789151719212238[[#This Row],[Precio PVP]],1,5)</f>
        <v>17,40</v>
      </c>
      <c r="J254" s="25" t="s">
        <v>321</v>
      </c>
      <c r="K254" s="26">
        <f t="shared" si="20"/>
        <v>0.43</v>
      </c>
      <c r="L254" s="25">
        <f>+ROUND(ListaPreciosProductos789151719212238[[#This Row],[Columna1]]*(1-ListaPreciosProductos789151719212238[[#This Row],[Descuento2]]),2)</f>
        <v>9.92</v>
      </c>
      <c r="M254" s="25" t="str">
        <f>+ListaPreciosProductos789151719212238[[#This Row],[Precio Neto]]&amp;" "&amp;ListaPreciosProductos789151719212238[[#This Row],[Columna2]]</f>
        <v>9,92 €/ud</v>
      </c>
    </row>
    <row r="255" spans="2:13" ht="21.95" customHeight="1" x14ac:dyDescent="0.25">
      <c r="B255" s="30" t="s">
        <v>573</v>
      </c>
      <c r="C255" s="15" t="s">
        <v>574</v>
      </c>
      <c r="D255" s="16" t="s">
        <v>571</v>
      </c>
      <c r="E255" s="16" t="s">
        <v>324</v>
      </c>
      <c r="F255" s="32" t="s">
        <v>318</v>
      </c>
      <c r="G255" s="18" t="s">
        <v>529</v>
      </c>
      <c r="H255" s="24" t="s">
        <v>535</v>
      </c>
      <c r="I255" s="35" t="str">
        <f>+MID(ListaPreciosProductos789151719212238[[#This Row],[Precio PVP]],1,5)</f>
        <v>24,70</v>
      </c>
      <c r="J255" s="25" t="s">
        <v>321</v>
      </c>
      <c r="K255" s="26">
        <f t="shared" si="20"/>
        <v>0.43</v>
      </c>
      <c r="L255" s="25">
        <f>+ROUND(ListaPreciosProductos789151719212238[[#This Row],[Columna1]]*(1-ListaPreciosProductos789151719212238[[#This Row],[Descuento2]]),2)</f>
        <v>14.08</v>
      </c>
      <c r="M255" s="25" t="str">
        <f>+ListaPreciosProductos789151719212238[[#This Row],[Precio Neto]]&amp;" "&amp;ListaPreciosProductos789151719212238[[#This Row],[Columna2]]</f>
        <v>14,08 €/ud</v>
      </c>
    </row>
    <row r="256" spans="2:13" ht="6.95" customHeight="1" x14ac:dyDescent="0.25"/>
    <row r="257" spans="2:9" s="91" customFormat="1" ht="30" customHeight="1" x14ac:dyDescent="0.25">
      <c r="B257" s="140" t="s">
        <v>575</v>
      </c>
      <c r="C257" s="140"/>
      <c r="D257" s="140"/>
      <c r="E257" s="140"/>
      <c r="F257" s="140"/>
      <c r="G257" s="140"/>
      <c r="H257" s="140"/>
      <c r="I257" s="90"/>
    </row>
    <row r="258" spans="2:9" s="91" customFormat="1" ht="3" customHeight="1" x14ac:dyDescent="0.25">
      <c r="B258" s="140"/>
      <c r="C258" s="140"/>
      <c r="D258" s="140"/>
      <c r="E258" s="140"/>
      <c r="F258" s="140"/>
      <c r="G258" s="140"/>
      <c r="H258" s="140"/>
      <c r="I258" s="90"/>
    </row>
    <row r="259" spans="2:9" s="91" customFormat="1" ht="3" customHeight="1" x14ac:dyDescent="0.25">
      <c r="B259" s="90"/>
      <c r="C259" s="90"/>
      <c r="D259" s="90"/>
      <c r="E259" s="90"/>
      <c r="F259" s="90"/>
      <c r="G259" s="90"/>
      <c r="H259" s="90"/>
      <c r="I259" s="90"/>
    </row>
    <row r="260" spans="2:9" s="91" customFormat="1" ht="3" customHeight="1" x14ac:dyDescent="0.25">
      <c r="B260" s="90"/>
      <c r="C260" s="90"/>
      <c r="D260" s="90"/>
      <c r="E260" s="90"/>
      <c r="F260" s="90"/>
      <c r="G260" s="90"/>
      <c r="H260" s="90"/>
      <c r="I260" s="90"/>
    </row>
    <row r="261" spans="2:9" ht="31.5" customHeight="1" x14ac:dyDescent="0.25">
      <c r="C261" s="141" t="s">
        <v>576</v>
      </c>
      <c r="D261" s="141"/>
      <c r="E261" s="141"/>
      <c r="F261" s="141"/>
      <c r="G261" s="141"/>
    </row>
    <row r="262" spans="2:9" ht="18.75" customHeight="1" x14ac:dyDescent="0.25">
      <c r="C262" s="141"/>
      <c r="D262" s="141"/>
      <c r="E262" s="141"/>
      <c r="F262" s="141"/>
      <c r="G262" s="141"/>
    </row>
    <row r="263" spans="2:9" s="91" customFormat="1" ht="24.75" customHeight="1" x14ac:dyDescent="0.25">
      <c r="B263" s="139" t="s">
        <v>670</v>
      </c>
      <c r="C263" s="139"/>
      <c r="D263" s="139"/>
      <c r="E263" s="139"/>
      <c r="F263" s="139"/>
      <c r="G263" s="139"/>
      <c r="H263" s="139"/>
      <c r="I263" s="90"/>
    </row>
    <row r="264" spans="2:9" s="91" customFormat="1" ht="24.75" customHeight="1" x14ac:dyDescent="0.25">
      <c r="B264" s="139"/>
      <c r="C264" s="139"/>
      <c r="D264" s="139"/>
      <c r="E264" s="139"/>
      <c r="F264" s="139"/>
      <c r="G264" s="139"/>
      <c r="H264" s="139"/>
      <c r="I264" s="90"/>
    </row>
    <row r="265" spans="2:9" s="91" customFormat="1" ht="24.75" customHeight="1" x14ac:dyDescent="0.25">
      <c r="B265" s="139"/>
      <c r="C265" s="139"/>
      <c r="D265" s="139"/>
      <c r="E265" s="139"/>
      <c r="F265" s="139"/>
      <c r="G265" s="139"/>
      <c r="H265" s="139"/>
      <c r="I265" s="90"/>
    </row>
    <row r="266" spans="2:9" s="91" customFormat="1" ht="24.75" customHeight="1" x14ac:dyDescent="0.25">
      <c r="B266" s="139"/>
      <c r="C266" s="139"/>
      <c r="D266" s="139"/>
      <c r="E266" s="139"/>
      <c r="F266" s="139"/>
      <c r="G266" s="139"/>
      <c r="H266" s="139"/>
      <c r="I266" s="90"/>
    </row>
    <row r="267" spans="2:9" s="91" customFormat="1" ht="24.75" customHeight="1" x14ac:dyDescent="0.25">
      <c r="B267" s="139"/>
      <c r="C267" s="139"/>
      <c r="D267" s="139"/>
      <c r="E267" s="139"/>
      <c r="F267" s="139"/>
      <c r="G267" s="139"/>
      <c r="H267" s="139"/>
      <c r="I267" s="90"/>
    </row>
    <row r="268" spans="2:9" s="91" customFormat="1" ht="19.5" customHeight="1" x14ac:dyDescent="0.25">
      <c r="B268" s="139"/>
      <c r="C268" s="139"/>
      <c r="D268" s="139"/>
      <c r="E268" s="139"/>
      <c r="F268" s="139"/>
      <c r="G268" s="139"/>
      <c r="H268" s="139"/>
      <c r="I268" s="90"/>
    </row>
    <row r="269" spans="2:9" s="91" customFormat="1" ht="19.5" customHeight="1" x14ac:dyDescent="0.25">
      <c r="B269" s="139"/>
      <c r="C269" s="139"/>
      <c r="D269" s="139"/>
      <c r="E269" s="139"/>
      <c r="F269" s="139"/>
      <c r="G269" s="139"/>
      <c r="H269" s="139"/>
      <c r="I269" s="90"/>
    </row>
    <row r="270" spans="2:9" s="91" customFormat="1" ht="19.5" customHeight="1" x14ac:dyDescent="0.25">
      <c r="B270" s="139"/>
      <c r="C270" s="139"/>
      <c r="D270" s="139"/>
      <c r="E270" s="139"/>
      <c r="F270" s="139"/>
      <c r="G270" s="139"/>
      <c r="H270" s="139"/>
      <c r="I270" s="90"/>
    </row>
    <row r="271" spans="2:9" s="91" customFormat="1" ht="19.5" customHeight="1" x14ac:dyDescent="0.25">
      <c r="B271" s="139"/>
      <c r="C271" s="139"/>
      <c r="D271" s="139"/>
      <c r="E271" s="139"/>
      <c r="F271" s="139"/>
      <c r="G271" s="139"/>
      <c r="H271" s="139"/>
      <c r="I271" s="90"/>
    </row>
    <row r="272" spans="2:9" s="91" customFormat="1" ht="19.5" customHeight="1" x14ac:dyDescent="0.25">
      <c r="B272" s="139"/>
      <c r="C272" s="139"/>
      <c r="D272" s="139"/>
      <c r="E272" s="139"/>
      <c r="F272" s="139"/>
      <c r="G272" s="139"/>
      <c r="H272" s="139"/>
      <c r="I272" s="90"/>
    </row>
    <row r="273" spans="2:9" s="91" customFormat="1" ht="19.5" customHeight="1" x14ac:dyDescent="0.25">
      <c r="B273" s="139"/>
      <c r="C273" s="139"/>
      <c r="D273" s="139"/>
      <c r="E273" s="139"/>
      <c r="F273" s="139"/>
      <c r="G273" s="139"/>
      <c r="H273" s="139"/>
      <c r="I273" s="90"/>
    </row>
    <row r="274" spans="2:9" s="91" customFormat="1" ht="19.5" customHeight="1" x14ac:dyDescent="0.25">
      <c r="B274" s="139"/>
      <c r="C274" s="139"/>
      <c r="D274" s="139"/>
      <c r="E274" s="139"/>
      <c r="F274" s="139"/>
      <c r="G274" s="139"/>
      <c r="H274" s="139"/>
      <c r="I274" s="90"/>
    </row>
    <row r="275" spans="2:9" s="91" customFormat="1" ht="19.5" customHeight="1" x14ac:dyDescent="0.25">
      <c r="B275" s="139"/>
      <c r="C275" s="139"/>
      <c r="D275" s="139"/>
      <c r="E275" s="139"/>
      <c r="F275" s="139"/>
      <c r="G275" s="139"/>
      <c r="H275" s="139"/>
      <c r="I275" s="90"/>
    </row>
    <row r="276" spans="2:9" s="91" customFormat="1" ht="19.5" customHeight="1" x14ac:dyDescent="0.25">
      <c r="B276" s="139"/>
      <c r="C276" s="139"/>
      <c r="D276" s="139"/>
      <c r="E276" s="139"/>
      <c r="F276" s="139"/>
      <c r="G276" s="139"/>
      <c r="H276" s="139"/>
      <c r="I276" s="90"/>
    </row>
    <row r="277" spans="2:9" s="91" customFormat="1" ht="3" customHeight="1" x14ac:dyDescent="0.25">
      <c r="B277" s="90"/>
      <c r="C277" s="90"/>
      <c r="D277" s="90"/>
      <c r="E277" s="90"/>
      <c r="F277" s="90"/>
      <c r="G277" s="90"/>
      <c r="H277" s="90"/>
      <c r="I277" s="90"/>
    </row>
    <row r="278" spans="2:9" ht="31.5" customHeight="1" x14ac:dyDescent="0.25">
      <c r="C278" s="141" t="s">
        <v>577</v>
      </c>
      <c r="D278" s="141"/>
      <c r="E278" s="141"/>
      <c r="F278" s="141"/>
      <c r="G278" s="141"/>
    </row>
    <row r="279" spans="2:9" ht="18.75" customHeight="1" x14ac:dyDescent="0.25">
      <c r="C279" s="141"/>
      <c r="D279" s="141"/>
      <c r="E279" s="141"/>
      <c r="F279" s="141"/>
      <c r="G279" s="141"/>
    </row>
    <row r="280" spans="2:9" ht="18.75" customHeight="1" x14ac:dyDescent="0.25"/>
    <row r="281" spans="2:9" ht="18.75" customHeight="1" x14ac:dyDescent="0.25">
      <c r="B281" s="139" t="s">
        <v>578</v>
      </c>
      <c r="C281" s="139"/>
      <c r="D281" s="139"/>
      <c r="E281" s="139"/>
      <c r="F281" s="139"/>
      <c r="G281" s="139"/>
      <c r="H281" s="139"/>
      <c r="I281" s="92"/>
    </row>
    <row r="282" spans="2:9" ht="18.75" customHeight="1" x14ac:dyDescent="0.25">
      <c r="B282" s="139"/>
      <c r="C282" s="139"/>
      <c r="D282" s="139"/>
      <c r="E282" s="139"/>
      <c r="F282" s="139"/>
      <c r="G282" s="139"/>
      <c r="H282" s="139"/>
      <c r="I282" s="92"/>
    </row>
    <row r="283" spans="2:9" s="93" customFormat="1" ht="24" customHeight="1" x14ac:dyDescent="0.25">
      <c r="B283" s="139"/>
      <c r="C283" s="139"/>
      <c r="D283" s="139"/>
      <c r="E283" s="139"/>
      <c r="F283" s="139"/>
      <c r="G283" s="139"/>
      <c r="H283" s="139"/>
      <c r="I283" s="92"/>
    </row>
    <row r="284" spans="2:9" s="93" customFormat="1" ht="9.9499999999999993" customHeight="1" x14ac:dyDescent="0.25">
      <c r="B284" s="139"/>
      <c r="C284" s="139"/>
      <c r="D284" s="139"/>
      <c r="E284" s="139"/>
      <c r="F284" s="139"/>
      <c r="G284" s="139"/>
      <c r="H284" s="139"/>
      <c r="I284" s="92"/>
    </row>
    <row r="285" spans="2:9" s="93" customFormat="1" ht="9.9499999999999993" customHeight="1" x14ac:dyDescent="0.25">
      <c r="B285" s="139"/>
      <c r="C285" s="139"/>
      <c r="D285" s="139"/>
      <c r="E285" s="139"/>
      <c r="F285" s="139"/>
      <c r="G285" s="139"/>
      <c r="H285" s="139"/>
      <c r="I285" s="92"/>
    </row>
    <row r="286" spans="2:9" s="93" customFormat="1" ht="9.9499999999999993" customHeight="1" x14ac:dyDescent="0.25">
      <c r="B286" s="139"/>
      <c r="C286" s="139"/>
      <c r="D286" s="139"/>
      <c r="E286" s="139"/>
      <c r="F286" s="139"/>
      <c r="G286" s="139"/>
      <c r="H286" s="139"/>
      <c r="I286" s="92"/>
    </row>
    <row r="287" spans="2:9" s="93" customFormat="1" ht="18.75" x14ac:dyDescent="0.25">
      <c r="B287" s="139"/>
      <c r="C287" s="139"/>
      <c r="D287" s="139"/>
      <c r="E287" s="139"/>
      <c r="F287" s="139"/>
      <c r="G287" s="139"/>
      <c r="H287" s="139"/>
      <c r="I287" s="92"/>
    </row>
    <row r="288" spans="2:9" ht="15" customHeight="1" x14ac:dyDescent="0.25">
      <c r="B288" s="139"/>
      <c r="C288" s="139"/>
      <c r="D288" s="139"/>
      <c r="E288" s="139"/>
      <c r="F288" s="139"/>
      <c r="G288" s="139"/>
      <c r="H288" s="139"/>
      <c r="I288" s="92"/>
    </row>
    <row r="289" spans="2:9" ht="30" customHeight="1" x14ac:dyDescent="0.25">
      <c r="B289" s="139"/>
      <c r="C289" s="139"/>
      <c r="D289" s="139"/>
      <c r="E289" s="139"/>
      <c r="F289" s="139"/>
      <c r="G289" s="139"/>
      <c r="H289" s="139"/>
      <c r="I289" s="92"/>
    </row>
    <row r="290" spans="2:9" ht="30" customHeight="1" x14ac:dyDescent="0.25">
      <c r="B290" s="139"/>
      <c r="C290" s="139"/>
      <c r="D290" s="139"/>
      <c r="E290" s="139"/>
      <c r="F290" s="139"/>
      <c r="G290" s="139"/>
      <c r="H290" s="139"/>
      <c r="I290" s="92"/>
    </row>
    <row r="291" spans="2:9" ht="30" customHeight="1" x14ac:dyDescent="0.25">
      <c r="B291" s="139"/>
      <c r="C291" s="139"/>
      <c r="D291" s="139"/>
      <c r="E291" s="139"/>
      <c r="F291" s="139"/>
      <c r="G291" s="139"/>
      <c r="H291" s="139"/>
      <c r="I291" s="92"/>
    </row>
    <row r="292" spans="2:9" ht="30" customHeight="1" x14ac:dyDescent="0.25">
      <c r="B292" s="139"/>
      <c r="C292" s="139"/>
      <c r="D292" s="139"/>
      <c r="E292" s="139"/>
      <c r="F292" s="139"/>
      <c r="G292" s="139"/>
      <c r="H292" s="139"/>
      <c r="I292" s="92"/>
    </row>
    <row r="293" spans="2:9" ht="30" customHeight="1" x14ac:dyDescent="0.25">
      <c r="B293" s="139"/>
      <c r="C293" s="139"/>
      <c r="D293" s="139"/>
      <c r="E293" s="139"/>
      <c r="F293" s="139"/>
      <c r="G293" s="139"/>
      <c r="H293" s="139"/>
      <c r="I293" s="92"/>
    </row>
    <row r="294" spans="2:9" ht="30" customHeight="1" x14ac:dyDescent="0.25">
      <c r="B294" s="139"/>
      <c r="C294" s="139"/>
      <c r="D294" s="139"/>
      <c r="E294" s="139"/>
      <c r="F294" s="139"/>
      <c r="G294" s="139"/>
      <c r="H294" s="139"/>
      <c r="I294" s="92"/>
    </row>
    <row r="295" spans="2:9" ht="30" customHeight="1" x14ac:dyDescent="0.25">
      <c r="B295" s="139"/>
      <c r="C295" s="139"/>
      <c r="D295" s="139"/>
      <c r="E295" s="139"/>
      <c r="F295" s="139"/>
      <c r="G295" s="139"/>
      <c r="H295" s="139"/>
      <c r="I295" s="92"/>
    </row>
    <row r="296" spans="2:9" ht="30" customHeight="1" x14ac:dyDescent="0.25">
      <c r="B296" s="139"/>
      <c r="C296" s="139"/>
      <c r="D296" s="139"/>
      <c r="E296" s="139"/>
      <c r="F296" s="139"/>
      <c r="G296" s="139"/>
      <c r="H296" s="139"/>
      <c r="I296" s="92"/>
    </row>
    <row r="297" spans="2:9" ht="30" customHeight="1" x14ac:dyDescent="0.25">
      <c r="B297" s="139"/>
      <c r="C297" s="139"/>
      <c r="D297" s="139"/>
      <c r="E297" s="139"/>
      <c r="F297" s="139"/>
      <c r="G297" s="139"/>
      <c r="H297" s="139"/>
      <c r="I297" s="92"/>
    </row>
    <row r="298" spans="2:9" ht="30" customHeight="1" x14ac:dyDescent="0.25">
      <c r="B298" s="139"/>
      <c r="C298" s="139"/>
      <c r="D298" s="139"/>
      <c r="E298" s="139"/>
      <c r="F298" s="139"/>
      <c r="G298" s="139"/>
      <c r="H298" s="139"/>
      <c r="I298" s="92"/>
    </row>
    <row r="299" spans="2:9" ht="30" customHeight="1" x14ac:dyDescent="0.25">
      <c r="B299" s="139"/>
      <c r="C299" s="139"/>
      <c r="D299" s="139"/>
      <c r="E299" s="139"/>
      <c r="F299" s="139"/>
      <c r="G299" s="139"/>
      <c r="H299" s="139"/>
      <c r="I299" s="92"/>
    </row>
    <row r="300" spans="2:9" ht="30" customHeight="1" x14ac:dyDescent="0.25">
      <c r="B300" s="139"/>
      <c r="C300" s="139"/>
      <c r="D300" s="139"/>
      <c r="E300" s="139"/>
      <c r="F300" s="139"/>
      <c r="G300" s="139"/>
      <c r="H300" s="139"/>
      <c r="I300" s="92"/>
    </row>
    <row r="301" spans="2:9" ht="30" customHeight="1" x14ac:dyDescent="0.25">
      <c r="B301" s="139"/>
      <c r="C301" s="139"/>
      <c r="D301" s="139"/>
      <c r="E301" s="139"/>
      <c r="F301" s="139"/>
      <c r="G301" s="139"/>
      <c r="H301" s="139"/>
      <c r="I301" s="92"/>
    </row>
    <row r="302" spans="2:9" ht="30" customHeight="1" x14ac:dyDescent="0.25">
      <c r="B302" s="139"/>
      <c r="C302" s="139"/>
      <c r="D302" s="139"/>
      <c r="E302" s="139"/>
      <c r="F302" s="139"/>
      <c r="G302" s="139"/>
      <c r="H302" s="139"/>
      <c r="I302" s="92"/>
    </row>
    <row r="303" spans="2:9" ht="30" customHeight="1" x14ac:dyDescent="0.25">
      <c r="B303" s="139"/>
      <c r="C303" s="139"/>
      <c r="D303" s="139"/>
      <c r="E303" s="139"/>
      <c r="F303" s="139"/>
      <c r="G303" s="139"/>
      <c r="H303" s="139"/>
      <c r="I303" s="92"/>
    </row>
    <row r="304" spans="2:9" ht="30" customHeight="1" x14ac:dyDescent="0.25">
      <c r="B304" s="139"/>
      <c r="C304" s="139"/>
      <c r="D304" s="139"/>
      <c r="E304" s="139"/>
      <c r="F304" s="139"/>
      <c r="G304" s="139"/>
      <c r="H304" s="139"/>
      <c r="I304" s="92"/>
    </row>
    <row r="305" spans="2:9" ht="30" customHeight="1" x14ac:dyDescent="0.25">
      <c r="B305" s="139"/>
      <c r="C305" s="139"/>
      <c r="D305" s="139"/>
      <c r="E305" s="139"/>
      <c r="F305" s="139"/>
      <c r="G305" s="139"/>
      <c r="H305" s="139"/>
      <c r="I305" s="92"/>
    </row>
    <row r="306" spans="2:9" ht="30" customHeight="1" x14ac:dyDescent="0.25">
      <c r="B306" s="139"/>
      <c r="C306" s="139"/>
      <c r="D306" s="139"/>
      <c r="E306" s="139"/>
      <c r="F306" s="139"/>
      <c r="G306" s="139"/>
      <c r="H306" s="139"/>
      <c r="I306" s="92"/>
    </row>
    <row r="307" spans="2:9" ht="30" customHeight="1" x14ac:dyDescent="0.25">
      <c r="B307" s="139"/>
      <c r="C307" s="139"/>
      <c r="D307" s="139"/>
      <c r="E307" s="139"/>
      <c r="F307" s="139"/>
      <c r="G307" s="139"/>
      <c r="H307" s="139"/>
      <c r="I307" s="92"/>
    </row>
    <row r="308" spans="2:9" ht="30" customHeight="1" x14ac:dyDescent="0.25">
      <c r="B308" s="139"/>
      <c r="C308" s="139"/>
      <c r="D308" s="139"/>
      <c r="E308" s="139"/>
      <c r="F308" s="139"/>
      <c r="G308" s="139"/>
      <c r="H308" s="139"/>
      <c r="I308" s="92"/>
    </row>
    <row r="309" spans="2:9" ht="30" customHeight="1" x14ac:dyDescent="0.25">
      <c r="B309" s="139"/>
      <c r="C309" s="139"/>
      <c r="D309" s="139"/>
      <c r="E309" s="139"/>
      <c r="F309" s="139"/>
      <c r="G309" s="139"/>
      <c r="H309" s="139"/>
      <c r="I309" s="92"/>
    </row>
    <row r="310" spans="2:9" ht="30" customHeight="1" x14ac:dyDescent="0.25">
      <c r="B310" s="139"/>
      <c r="C310" s="139"/>
      <c r="D310" s="139"/>
      <c r="E310" s="139"/>
      <c r="F310" s="139"/>
      <c r="G310" s="139"/>
      <c r="H310" s="139"/>
      <c r="I310" s="92"/>
    </row>
    <row r="311" spans="2:9" ht="30" customHeight="1" x14ac:dyDescent="0.25">
      <c r="B311" s="139"/>
      <c r="C311" s="139"/>
      <c r="D311" s="139"/>
      <c r="E311" s="139"/>
      <c r="F311" s="139"/>
      <c r="G311" s="139"/>
      <c r="H311" s="139"/>
      <c r="I311" s="92"/>
    </row>
    <row r="312" spans="2:9" ht="30" customHeight="1" x14ac:dyDescent="0.25">
      <c r="B312" s="139"/>
      <c r="C312" s="139"/>
      <c r="D312" s="139"/>
      <c r="E312" s="139"/>
      <c r="F312" s="139"/>
      <c r="G312" s="139"/>
      <c r="H312" s="139"/>
      <c r="I312" s="92"/>
    </row>
    <row r="313" spans="2:9" ht="30" customHeight="1" x14ac:dyDescent="0.25">
      <c r="B313" s="139"/>
      <c r="C313" s="139"/>
      <c r="D313" s="139"/>
      <c r="E313" s="139"/>
      <c r="F313" s="139"/>
      <c r="G313" s="139"/>
      <c r="H313" s="139"/>
      <c r="I313" s="92"/>
    </row>
    <row r="314" spans="2:9" ht="30" customHeight="1" x14ac:dyDescent="0.25">
      <c r="B314" s="139"/>
      <c r="C314" s="139"/>
      <c r="D314" s="139"/>
      <c r="E314" s="139"/>
      <c r="F314" s="139"/>
      <c r="G314" s="139"/>
      <c r="H314" s="139"/>
      <c r="I314" s="92"/>
    </row>
    <row r="315" spans="2:9" ht="30" customHeight="1" x14ac:dyDescent="0.25">
      <c r="B315" s="139"/>
      <c r="C315" s="139"/>
      <c r="D315" s="139"/>
      <c r="E315" s="139"/>
      <c r="F315" s="139"/>
      <c r="G315" s="139"/>
      <c r="H315" s="139"/>
      <c r="I315" s="92"/>
    </row>
    <row r="316" spans="2:9" ht="30" customHeight="1" x14ac:dyDescent="0.25">
      <c r="B316" s="139"/>
      <c r="C316" s="139"/>
      <c r="D316" s="139"/>
      <c r="E316" s="139"/>
      <c r="F316" s="139"/>
      <c r="G316" s="139"/>
      <c r="H316" s="139"/>
      <c r="I316" s="92"/>
    </row>
    <row r="317" spans="2:9" ht="30" customHeight="1" x14ac:dyDescent="0.25">
      <c r="B317" s="139"/>
      <c r="C317" s="139"/>
      <c r="D317" s="139"/>
      <c r="E317" s="139"/>
      <c r="F317" s="139"/>
      <c r="G317" s="139"/>
      <c r="H317" s="139"/>
      <c r="I317" s="92"/>
    </row>
    <row r="318" spans="2:9" ht="30" customHeight="1" x14ac:dyDescent="0.25">
      <c r="B318" s="139"/>
      <c r="C318" s="139"/>
      <c r="D318" s="139"/>
      <c r="E318" s="139"/>
      <c r="F318" s="139"/>
      <c r="G318" s="139"/>
      <c r="H318" s="139"/>
      <c r="I318" s="92"/>
    </row>
    <row r="319" spans="2:9" ht="30" customHeight="1" x14ac:dyDescent="0.25">
      <c r="B319" s="139"/>
      <c r="C319" s="139"/>
      <c r="D319" s="139"/>
      <c r="E319" s="139"/>
      <c r="F319" s="139"/>
      <c r="G319" s="139"/>
      <c r="H319" s="139"/>
      <c r="I319" s="92"/>
    </row>
    <row r="320" spans="2:9" ht="30" customHeight="1" x14ac:dyDescent="0.25">
      <c r="B320" s="139"/>
      <c r="C320" s="139"/>
      <c r="D320" s="139"/>
      <c r="E320" s="139"/>
      <c r="F320" s="139"/>
      <c r="G320" s="139"/>
      <c r="H320" s="139"/>
      <c r="I320" s="92"/>
    </row>
    <row r="321" spans="2:9" ht="30" customHeight="1" x14ac:dyDescent="0.25">
      <c r="B321" s="139"/>
      <c r="C321" s="139"/>
      <c r="D321" s="139"/>
      <c r="E321" s="139"/>
      <c r="F321" s="139"/>
      <c r="G321" s="139"/>
      <c r="H321" s="139"/>
      <c r="I321" s="92"/>
    </row>
    <row r="322" spans="2:9" ht="30" customHeight="1" x14ac:dyDescent="0.25">
      <c r="B322" s="139"/>
      <c r="C322" s="139"/>
      <c r="D322" s="139"/>
      <c r="E322" s="139"/>
      <c r="F322" s="139"/>
      <c r="G322" s="139"/>
      <c r="H322" s="139"/>
      <c r="I322" s="92"/>
    </row>
    <row r="323" spans="2:9" ht="30" customHeight="1" x14ac:dyDescent="0.25">
      <c r="B323" s="139"/>
      <c r="C323" s="139"/>
      <c r="D323" s="139"/>
      <c r="E323" s="139"/>
      <c r="F323" s="139"/>
      <c r="G323" s="139"/>
      <c r="H323" s="139"/>
      <c r="I323" s="92"/>
    </row>
    <row r="324" spans="2:9" ht="30" customHeight="1" x14ac:dyDescent="0.25">
      <c r="B324" s="139"/>
      <c r="C324" s="139"/>
      <c r="D324" s="139"/>
      <c r="E324" s="139"/>
      <c r="F324" s="139"/>
      <c r="G324" s="139"/>
      <c r="H324" s="139"/>
      <c r="I324" s="92"/>
    </row>
    <row r="325" spans="2:9" ht="30" customHeight="1" x14ac:dyDescent="0.25">
      <c r="B325" s="139"/>
      <c r="C325" s="139"/>
      <c r="D325" s="139"/>
      <c r="E325" s="139"/>
      <c r="F325" s="139"/>
      <c r="G325" s="139"/>
      <c r="H325" s="139"/>
      <c r="I325" s="92"/>
    </row>
    <row r="326" spans="2:9" ht="30" customHeight="1" x14ac:dyDescent="0.25">
      <c r="B326" s="139"/>
      <c r="C326" s="139"/>
      <c r="D326" s="139"/>
      <c r="E326" s="139"/>
      <c r="F326" s="139"/>
      <c r="G326" s="139"/>
      <c r="H326" s="139"/>
      <c r="I326" s="92"/>
    </row>
    <row r="327" spans="2:9" ht="30" customHeight="1" x14ac:dyDescent="0.25">
      <c r="B327" s="139"/>
      <c r="C327" s="139"/>
      <c r="D327" s="139"/>
      <c r="E327" s="139"/>
      <c r="F327" s="139"/>
      <c r="G327" s="139"/>
      <c r="H327" s="139"/>
      <c r="I327" s="92"/>
    </row>
    <row r="328" spans="2:9" ht="30" customHeight="1" x14ac:dyDescent="0.25">
      <c r="B328" s="139"/>
      <c r="C328" s="139"/>
      <c r="D328" s="139"/>
      <c r="E328" s="139"/>
      <c r="F328" s="139"/>
      <c r="G328" s="139"/>
      <c r="H328" s="139"/>
      <c r="I328" s="92"/>
    </row>
    <row r="329" spans="2:9" ht="30" customHeight="1" x14ac:dyDescent="0.25">
      <c r="B329" s="139"/>
      <c r="C329" s="139"/>
      <c r="D329" s="139"/>
      <c r="E329" s="139"/>
      <c r="F329" s="139"/>
      <c r="G329" s="139"/>
      <c r="H329" s="139"/>
      <c r="I329" s="92"/>
    </row>
    <row r="330" spans="2:9" ht="30" customHeight="1" x14ac:dyDescent="0.25">
      <c r="B330" s="139"/>
      <c r="C330" s="139"/>
      <c r="D330" s="139"/>
      <c r="E330" s="139"/>
      <c r="F330" s="139"/>
      <c r="G330" s="139"/>
      <c r="H330" s="139"/>
      <c r="I330" s="92"/>
    </row>
  </sheetData>
  <sheetProtection formatCells="0" formatColumns="0" formatRows="0" insertColumns="0" insertRows="0" insertHyperlinks="0" deleteColumns="0" deleteRows="0" sort="0" autoFilter="0" pivotTables="0"/>
  <mergeCells count="32">
    <mergeCell ref="B281:H330"/>
    <mergeCell ref="B197:D197"/>
    <mergeCell ref="B243:D243"/>
    <mergeCell ref="B257:H258"/>
    <mergeCell ref="C261:G262"/>
    <mergeCell ref="B263:H276"/>
    <mergeCell ref="C278:G279"/>
    <mergeCell ref="B216:D216"/>
    <mergeCell ref="B188:D188"/>
    <mergeCell ref="B76:D76"/>
    <mergeCell ref="B88:D88"/>
    <mergeCell ref="B96:D96"/>
    <mergeCell ref="B113:D113"/>
    <mergeCell ref="B119:D119"/>
    <mergeCell ref="B131:D131"/>
    <mergeCell ref="B148:D148"/>
    <mergeCell ref="B154:D154"/>
    <mergeCell ref="B161:D161"/>
    <mergeCell ref="B170:D170"/>
    <mergeCell ref="B177:D177"/>
    <mergeCell ref="D74:G74"/>
    <mergeCell ref="D2:G3"/>
    <mergeCell ref="D4:G4"/>
    <mergeCell ref="D5:G5"/>
    <mergeCell ref="D6:G6"/>
    <mergeCell ref="B8:F8"/>
    <mergeCell ref="B12:D12"/>
    <mergeCell ref="B21:D21"/>
    <mergeCell ref="B30:D30"/>
    <mergeCell ref="B37:D37"/>
    <mergeCell ref="B51:D51"/>
    <mergeCell ref="B67:D67"/>
  </mergeCells>
  <dataValidations count="11">
    <dataValidation allowBlank="1" showErrorMessage="1" sqref="A6 A74" xr:uid="{6A85B133-2411-48F3-8EBE-E4DCDA65E109}"/>
    <dataValidation allowBlank="1" showInputMessage="1" showErrorMessage="1" prompt="Escriba los números de teléfono y fax de la empresa en esta celda." sqref="B3:B5 B73" xr:uid="{54FDAEB0-F63B-48DE-9E4C-95204A51274B}"/>
    <dataValidation allowBlank="1" showInputMessage="1" showErrorMessage="1" prompt="Escriba el nombre del producto en esta columna, debajo de este encabezado. Use los filtros del encabezado para buscar entradas específicas." sqref="B78 B244 B22 B52 B13 B90 B98 B115 B121 B150 B133 B68 B171 B178 B156 B190 B163 B199 B31 B38 B222" xr:uid="{DB43CB51-BDB6-44A0-B66D-B9AEDD9A4743}"/>
    <dataValidation allowBlank="1" showInputMessage="1" showErrorMessage="1" prompt="Escriba el nombre en esta columna, debajo de este encabezado." sqref="C78 C244 C22 C52 C13 C90 C98 C115 C121 C150 C133 C68 C171 C178 C156 C190 C163 C199 C31 C38 C222" xr:uid="{A200EE53-D3A1-4BC5-A304-14B429AC16A8}"/>
    <dataValidation allowBlank="1" showInputMessage="1" showErrorMessage="1" prompt="Escriba la descripción en esta columna, debajo de este encabezado." sqref="D78:G78 D244:G244 D22:G22 D52:G52 D13:G13 D90:G90 D98:G98 D115:G115 D121:G121 D150:G150 D133:G133 D68:G68 D171:G171 D178:G178 D156:G156 D190:G190 D163:G163 D199:G199 D31:G31 D38:G38 D222:G222" xr:uid="{67A9B301-50A8-4FE7-A0A5-04CD60D3F796}"/>
    <dataValidation allowBlank="1" showInputMessage="1" showErrorMessage="1" prompt="Escriba el precio al por menor por unidad en esta columna, debajo de este encabezado." sqref="H68:I68 H244:I244 H13:I13 H22:I22 H52:I52 H190:I190 H78:I78 H90:I90 H98:I98 H115:I115 H133:I133 H121:I121 H163:I163 H171:I171 H150:I150 H178:I178 H156:I156 H199:I199 H31:I31 H38:I38 H222:I222" xr:uid="{475CF6D0-1889-41B3-98F6-B820EF93946C}"/>
    <dataValidation allowBlank="1" showInputMessage="1" showErrorMessage="1" prompt="Escriba el nombre, la dirección, la ciudad, el estado o la provincia y el código postal de la empresa en esta celda." sqref="B1:B2" xr:uid="{4C7CF853-7C95-4C1E-BBFF-D7ABB9A5D80A}"/>
    <dataValidation allowBlank="1" showInputMessage="1" showErrorMessage="1" prompt="Escriba la dirección web de la empresa en esta celda." sqref="B6 B74" xr:uid="{524BA26D-1593-4D9B-B644-5C7DCA128B64}"/>
    <dataValidation allowBlank="1" showInputMessage="1" showErrorMessage="1" prompt="El título de esta hoja de cálculo se encuentra en esta celda." sqref="B7 B72 B130" xr:uid="{AF4C173E-1804-4404-8B4A-2507A5C029E2}"/>
    <dataValidation allowBlank="1" showInputMessage="1" showErrorMessage="1" prompt="Escriba la fecha de la última actualización en la celda de la derecha y la información de los productos en la tabla siguiente." sqref="B8:B10 B37 B21 G21 B51 G51 B67 G67 B88:B89 G88:G89 B96:B97 G96:G97 B113:B114 G113:G114 B119:B120 G119:G120 B131:B132 G131:G132 G154:G155 B170 G170 B154:B155 B177 G177 B188:B189 G188:G189 G161:G162 B161:B162 B197:B198 G197:G198 B240:B243 G240:G243 B12 G12 B75:B77 B145:B149 G145:G149 G75:G77 B30 G30 G37 G8:G10 B216 G218:G221 B218:B221" xr:uid="{D896A371-4F1C-48CB-88D4-DD86F3FD0569}"/>
    <dataValidation allowBlank="1" showInputMessage="1" showErrorMessage="1" prompt="Cree una lista de precios de productos en esta hoja de cálculo. Escriba la información de la empresa en esta fila, a partir de la celda B1." sqref="A1:A2" xr:uid="{454DC081-DC0D-4CCB-A816-C48DACDDD1AF}"/>
  </dataValidations>
  <printOptions horizontalCentered="1"/>
  <pageMargins left="3.937007874015748E-2" right="3.937007874015748E-2" top="7.874015748031496E-2" bottom="0.15748031496062992" header="0.31496062992125984" footer="0.31496062992125984"/>
  <pageSetup paperSize="9" scale="66" fitToHeight="0" pageOrder="overThenDown" orientation="landscape" r:id="rId1"/>
  <headerFooter differentFirst="1">
    <oddFooter>&amp;CPágina &amp;P of &amp;N</oddFooter>
  </headerFooter>
  <rowBreaks count="9" manualBreakCount="9">
    <brk id="46" max="16383" man="1"/>
    <brk id="70" max="16383" man="1"/>
    <brk id="106" max="16383" man="1"/>
    <brk id="143" max="16383" man="1"/>
    <brk id="182" max="16383" man="1"/>
    <brk id="217" max="13" man="1"/>
    <brk id="259" max="13" man="1"/>
    <brk id="277" max="16383" man="1"/>
    <brk id="308" max="13" man="1"/>
  </rowBreaks>
  <drawing r:id="rId2"/>
  <tableParts count="2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PVP Matriz</vt:lpstr>
      <vt:lpstr>'Lista de PVP Matriz'!Área_de_impresión</vt:lpstr>
      <vt:lpstr>'Lista de PVP Matriz'!TítuloFilaRegión1..F5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10</dc:creator>
  <cp:lastModifiedBy>Usuario 06</cp:lastModifiedBy>
  <cp:lastPrinted>2025-05-21T15:02:26Z</cp:lastPrinted>
  <dcterms:created xsi:type="dcterms:W3CDTF">2025-01-23T15:51:25Z</dcterms:created>
  <dcterms:modified xsi:type="dcterms:W3CDTF">2025-05-21T15:02:29Z</dcterms:modified>
</cp:coreProperties>
</file>